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comments1.xml" ContentType="application/vnd.openxmlformats-officedocument.spreadsheetml.comment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sus.ortiz\Desktop\Ingreso\ESCRITORIO UNIFICADO\AJUSTE PARTICIPACIONES\FORMULA JULIO 2024 - JUNIO 2025\"/>
    </mc:Choice>
  </mc:AlternateContent>
  <bookViews>
    <workbookView xWindow="0" yWindow="0" windowWidth="20490" windowHeight="7650" activeTab="0"/>
  </bookViews>
  <sheets>
    <sheet name="Participaciones  Tabla I" sheetId="1" r:id="rId3"/>
    <sheet name="FOMUN 30% Tabla II" sheetId="2" r:id="rId4"/>
    <sheet name=" GASOLINAS  Tabla III" sheetId="3" r:id="rId5"/>
  </sheets>
  <definedNames>
    <definedName name="_xlnm.Print_Titles" localSheetId="2">' GASOLINAS  Tabla III'!$1:$4</definedName>
    <definedName name="_xlnm.Print_Titles" localSheetId="1">'FOMUN 30% Tabla II'!$1:$4</definedName>
    <definedName name="_xlnm.Print_Titles" localSheetId="0">'Participaciones  Tabla I'!$3:$4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Jesús Miguel Ortíz Jiménez</author>
  </authors>
  <commentList>
    <comment ref="Z4" authorId="0">
      <text>
        <r>
          <rPr>
            <b/>
            <sz val="9"/>
            <rFont val="Tahoma"/>
            <family val="2"/>
          </rPr>
          <t>Jesús Miguel Ortíz Jiménez:</t>
        </r>
        <r>
          <rPr>
            <sz val="9"/>
            <rFont val="Tahoma"/>
            <family val="2"/>
          </rPr>
          <t xml:space="preserve">
Actualización de la LCF</t>
        </r>
      </text>
    </comment>
  </commentList>
</comments>
</file>

<file path=xl/sharedStrings.xml><?xml version="1.0" encoding="utf-8"?>
<sst xmlns="http://schemas.openxmlformats.org/spreadsheetml/2006/main" count="852" uniqueCount="465">
  <si>
    <t>Totales</t>
  </si>
  <si>
    <t>CHAPAB</t>
  </si>
  <si>
    <t>Partes Iguales 
0.27/106</t>
  </si>
  <si>
    <t>(IMMi/Ʃ IMMi)* 2.5%</t>
  </si>
  <si>
    <t>Razón directa
IMMi/Ʃ IMMi</t>
  </si>
  <si>
    <t>Marginación CONAPO
(Mi)</t>
  </si>
  <si>
    <t xml:space="preserve"> (IERi)*(4.5%)</t>
  </si>
  <si>
    <t>RAZÓN DIRECTA
(d)/Ʃ (d)</t>
  </si>
  <si>
    <t>Derechos de Agua
(c)</t>
  </si>
  <si>
    <t>Impuesto Predial
(b)</t>
  </si>
  <si>
    <t>Población 64.0%
(a)/Ʃ (a) * (64%)</t>
  </si>
  <si>
    <t>Razón directa
(a)/Ʃ (a)</t>
  </si>
  <si>
    <t>Población
(a)</t>
  </si>
  <si>
    <t>Municipios</t>
  </si>
  <si>
    <t>#</t>
  </si>
  <si>
    <t>Suma de los Factores</t>
  </si>
  <si>
    <t>Fracción VI</t>
  </si>
  <si>
    <t>Fracción V</t>
  </si>
  <si>
    <t>Fracción II</t>
  </si>
  <si>
    <t>Fracción I:</t>
  </si>
  <si>
    <t>106 YOBAIN</t>
  </si>
  <si>
    <t>104 YAXCABA</t>
  </si>
  <si>
    <t>103 XOCCHEL</t>
  </si>
  <si>
    <t>102 VALLADOLID</t>
  </si>
  <si>
    <t>101 UMAN</t>
  </si>
  <si>
    <t>099 UAYMA</t>
  </si>
  <si>
    <t>098 TZUCACAB</t>
  </si>
  <si>
    <t>097 TUNKAS</t>
  </si>
  <si>
    <t>096 TIZIMIN</t>
  </si>
  <si>
    <t>095 TIXPEUAL</t>
  </si>
  <si>
    <t>092 TIXCACALCUPUL</t>
  </si>
  <si>
    <t>090 TIMUCUY</t>
  </si>
  <si>
    <t>089 TICUL</t>
  </si>
  <si>
    <t>088 TEYA</t>
  </si>
  <si>
    <t>087 TETIZ</t>
  </si>
  <si>
    <t>086 TEPAKAN</t>
  </si>
  <si>
    <t>085 TEMOZON</t>
  </si>
  <si>
    <t>084 TEMAX</t>
  </si>
  <si>
    <t>082 TELCHAC PUEBLO</t>
  </si>
  <si>
    <t>081 TEKOM</t>
  </si>
  <si>
    <t>080 TEKIT</t>
  </si>
  <si>
    <t>079 TEKAX</t>
  </si>
  <si>
    <t>078 TEKANTO</t>
  </si>
  <si>
    <t>076 TECOH</t>
  </si>
  <si>
    <t>075 TEABO</t>
  </si>
  <si>
    <t>073 TAHDZIU</t>
  </si>
  <si>
    <t>072 SUMA</t>
  </si>
  <si>
    <t>071 SUDZAL</t>
  </si>
  <si>
    <t>070 SUCILA</t>
  </si>
  <si>
    <t>069 SOTUTA</t>
  </si>
  <si>
    <t>066 SANTA ELENA</t>
  </si>
  <si>
    <t>064 SANAHCAT</t>
  </si>
  <si>
    <t>063 SAMAHIL</t>
  </si>
  <si>
    <t>062 SACALUM</t>
  </si>
  <si>
    <t>060 QUINTANA ROO</t>
  </si>
  <si>
    <t>059 PROGRESO</t>
  </si>
  <si>
    <t>058 PETO</t>
  </si>
  <si>
    <t>057 PANABA</t>
  </si>
  <si>
    <t>054 MUXUPIP</t>
  </si>
  <si>
    <t>053 MUNA</t>
  </si>
  <si>
    <t>052 MOTUL</t>
  </si>
  <si>
    <t>049 MAYAPAN</t>
  </si>
  <si>
    <t>048 MAXCANU</t>
  </si>
  <si>
    <t>047 MANI</t>
  </si>
  <si>
    <t>045 KOPOMA</t>
  </si>
  <si>
    <t>044 KINCHIL</t>
  </si>
  <si>
    <t>042 KANTUNIL</t>
  </si>
  <si>
    <t>041 KANASIN</t>
  </si>
  <si>
    <t>040 IZAMAL</t>
  </si>
  <si>
    <t>039 IXIL</t>
  </si>
  <si>
    <t>038 HUNUCMA</t>
  </si>
  <si>
    <t>036 HOMUN</t>
  </si>
  <si>
    <t>034 HOCABA</t>
  </si>
  <si>
    <t>033 HALACHO</t>
  </si>
  <si>
    <t>032 ESPITA</t>
  </si>
  <si>
    <t>031 DZONCAUICH</t>
  </si>
  <si>
    <t>030 DZITAS</t>
  </si>
  <si>
    <t>029 DZILAM GONZALEZ</t>
  </si>
  <si>
    <t>028 DZILAM DE BRAVO</t>
  </si>
  <si>
    <t>027 DZIDZANTUN</t>
  </si>
  <si>
    <t>026 DZEMUL</t>
  </si>
  <si>
    <t>025 DZAN</t>
  </si>
  <si>
    <t>024 CHUMAYEL</t>
  </si>
  <si>
    <t>023 CHOCHOLA</t>
  </si>
  <si>
    <t>021 CHICHIMILA</t>
  </si>
  <si>
    <t>020 CHICXULUB PUEBLO</t>
  </si>
  <si>
    <t>019 CHEMAX</t>
  </si>
  <si>
    <t>018 CHAPAB</t>
  </si>
  <si>
    <t>017 CHANKOM</t>
  </si>
  <si>
    <t>016 CHACSINKIN</t>
  </si>
  <si>
    <t>015 CUZAMA</t>
  </si>
  <si>
    <t>013 CONKAL</t>
  </si>
  <si>
    <t>011 CELESTUN</t>
  </si>
  <si>
    <t>010 CANTAMAYEC</t>
  </si>
  <si>
    <t>009 CANSAHCAB</t>
  </si>
  <si>
    <t>008 CALOTMUL</t>
  </si>
  <si>
    <t>007 CACALCHEN</t>
  </si>
  <si>
    <t>006 BUCTZOTZ</t>
  </si>
  <si>
    <t>005 BOKOBA</t>
  </si>
  <si>
    <t>003 AKIL</t>
  </si>
  <si>
    <t xml:space="preserve">TOTALES </t>
  </si>
  <si>
    <t>YOBAIN, YUC.</t>
  </si>
  <si>
    <t>YAXKUKUL, YUC.</t>
  </si>
  <si>
    <t>YAXCABA, YUC.</t>
  </si>
  <si>
    <t>XOCCHEL, YUC.</t>
  </si>
  <si>
    <t>VALLADOLID, YUC.</t>
  </si>
  <si>
    <t>UMAN, YUC.</t>
  </si>
  <si>
    <t>UCU, YUC.</t>
  </si>
  <si>
    <t>UAYMA, YUC.</t>
  </si>
  <si>
    <t>TZUCACAB, YUC.</t>
  </si>
  <si>
    <t>TUNKAS, YUC.</t>
  </si>
  <si>
    <t>TIZIMIN, YUC.</t>
  </si>
  <si>
    <t>TIXPEUAL, YUC.</t>
  </si>
  <si>
    <t>TIXMEUAC, YUC.</t>
  </si>
  <si>
    <t>TIXKOKOB, YUC.</t>
  </si>
  <si>
    <t>TIXCACALCUPUL, YUC.</t>
  </si>
  <si>
    <t>TINUM, YUC.</t>
  </si>
  <si>
    <t>TIMUCUY, YUC.</t>
  </si>
  <si>
    <t>TICUL, YUC.</t>
  </si>
  <si>
    <t>TEYA, YUC.</t>
  </si>
  <si>
    <t>TETIZ, YUC.</t>
  </si>
  <si>
    <t>TEPAKAN, YUC.</t>
  </si>
  <si>
    <t>TEMOZON, YUC.</t>
  </si>
  <si>
    <t>TEMAX, YUC.</t>
  </si>
  <si>
    <t xml:space="preserve">TELCHAC PUERTO, YUC.  </t>
  </si>
  <si>
    <t>TELCHAC PUEBLO, YUC.</t>
  </si>
  <si>
    <t>TEKOM, YUC.</t>
  </si>
  <si>
    <t>TEKIT, YUC.</t>
  </si>
  <si>
    <t>TEKAX, YUC.</t>
  </si>
  <si>
    <t>TEKANTO, YUC.</t>
  </si>
  <si>
    <t>TEKAL DE VENEGAS, YUC.</t>
  </si>
  <si>
    <t>TECOH, YUC.</t>
  </si>
  <si>
    <t>TEABO, YUC.</t>
  </si>
  <si>
    <t>TAHMEK, YUC.</t>
  </si>
  <si>
    <t>TAHDZIU, YUC.</t>
  </si>
  <si>
    <t>SUMA, YUC.</t>
  </si>
  <si>
    <t>SUDZAL, YUC.</t>
  </si>
  <si>
    <t>SUCILA, YUC.</t>
  </si>
  <si>
    <t>SOTUTA, YUC.</t>
  </si>
  <si>
    <t>SINANCHE, YUC.</t>
  </si>
  <si>
    <t>SEYE, YUC.</t>
  </si>
  <si>
    <t>SANTA ELENA, YUC.</t>
  </si>
  <si>
    <t>SAN FELIPE, YUC.</t>
  </si>
  <si>
    <t>SANAHCAT, YUC.</t>
  </si>
  <si>
    <t>SAMAHIL, YUC.</t>
  </si>
  <si>
    <t>SACALUM, YUC.</t>
  </si>
  <si>
    <t>RIO LAGARTOS, YUC.</t>
  </si>
  <si>
    <t>QUINTANA ROO, YUC.</t>
  </si>
  <si>
    <t>PROGRESO, YUC.</t>
  </si>
  <si>
    <t>PETO, YUC.</t>
  </si>
  <si>
    <t>PANABA, YUC.</t>
  </si>
  <si>
    <t>OXKUTZCAB, YUC.</t>
  </si>
  <si>
    <t>OPICHEN, YUC.</t>
  </si>
  <si>
    <t>MUXUPIP, YUC.</t>
  </si>
  <si>
    <t>MUNA, YUC.</t>
  </si>
  <si>
    <t>MOTUL, YUC.</t>
  </si>
  <si>
    <t>MOCOCHA, YUC.</t>
  </si>
  <si>
    <t>MERIDA, YUC.</t>
  </si>
  <si>
    <t>MAYAPAN, YUC.</t>
  </si>
  <si>
    <t>MAXCANU, YUC.</t>
  </si>
  <si>
    <t>MANI, YUC.</t>
  </si>
  <si>
    <t>MAMA, YUC.</t>
  </si>
  <si>
    <t>KOPOMA, YUC.</t>
  </si>
  <si>
    <t>KINCHIL, YUC.</t>
  </si>
  <si>
    <t>KAUA, YUC.</t>
  </si>
  <si>
    <t>KANTUNIL, YUC.</t>
  </si>
  <si>
    <t>KANASIN, YUC.</t>
  </si>
  <si>
    <t>IZAMAL, YUC.</t>
  </si>
  <si>
    <t>IXIL, YUC.</t>
  </si>
  <si>
    <t>HUNUCMA, YUC.</t>
  </si>
  <si>
    <t>HUHI, YUC.</t>
  </si>
  <si>
    <t>HOMUN, YUC.</t>
  </si>
  <si>
    <t>HOCTUN, YUC.</t>
  </si>
  <si>
    <t>HOCABA, YUC.</t>
  </si>
  <si>
    <t>HALACHO, YUC.</t>
  </si>
  <si>
    <t>ESPITA, YUC.</t>
  </si>
  <si>
    <t>DZONCAUICH, YUC.</t>
  </si>
  <si>
    <t>DZITAS, YUC.</t>
  </si>
  <si>
    <t>DZILAM GONZALEZ, YUC.</t>
  </si>
  <si>
    <t>DZILAM DE BRAVO, YUC.</t>
  </si>
  <si>
    <t>DZIDZANTUN, YUC.</t>
  </si>
  <si>
    <t>DZEMUL, YUC.</t>
  </si>
  <si>
    <t>DZAN, YUC.</t>
  </si>
  <si>
    <t>CHUMAYEL, YUC.</t>
  </si>
  <si>
    <t>CHOCHOLA, YUC.</t>
  </si>
  <si>
    <t>CHIKINDZONOT, YUC.</t>
  </si>
  <si>
    <t>CHICHIMILA, YUC.</t>
  </si>
  <si>
    <t>CHICXULUB PUEBLO, YUC.</t>
  </si>
  <si>
    <t>CHEMAX, YUC.</t>
  </si>
  <si>
    <t>CHAPAB,YUC.</t>
  </si>
  <si>
    <t>CHANKOM, YUC.</t>
  </si>
  <si>
    <t>CHACSINKIN, YUC.</t>
  </si>
  <si>
    <t>CUZAMA, YUC.</t>
  </si>
  <si>
    <t>CUNCUNUL, YUC.</t>
  </si>
  <si>
    <t>CONKAL, YUC.</t>
  </si>
  <si>
    <t>CENOTILLO, YUC.</t>
  </si>
  <si>
    <t>CELESTUN, YUC.</t>
  </si>
  <si>
    <t>CANTAMAYEC, YUC.</t>
  </si>
  <si>
    <t>CANSAHCAB, YUC.</t>
  </si>
  <si>
    <t>CALOTMUL, YUC.</t>
  </si>
  <si>
    <t>CACALCHEN, YUC.</t>
  </si>
  <si>
    <t>BUCTZOTZ, YUC.</t>
  </si>
  <si>
    <t>BOKOBA, YUC.</t>
  </si>
  <si>
    <t>BACA, YUC.</t>
  </si>
  <si>
    <t>AKIL, YUC.</t>
  </si>
  <si>
    <t>ACANCEH, YUC.</t>
  </si>
  <si>
    <t>ABALA, YUC.</t>
  </si>
  <si>
    <t>Factor de distribución</t>
  </si>
  <si>
    <t xml:space="preserve">índice de Masa de Marginación
30.0%  </t>
  </si>
  <si>
    <t>Población 70.0%</t>
  </si>
  <si>
    <t>MUNICIPIOS</t>
  </si>
  <si>
    <t>Fracción II.</t>
  </si>
  <si>
    <t>Fracción I.</t>
  </si>
  <si>
    <t>Partes Iguales 
0.27/80</t>
  </si>
  <si>
    <t>Suma
(a*9.261-0.1456*Mi)</t>
  </si>
  <si>
    <t>R1i (2021)</t>
  </si>
  <si>
    <t>2021
(b)+(c)=(d)</t>
  </si>
  <si>
    <t>R1i (2022)</t>
  </si>
  <si>
    <t xml:space="preserve"> IERi (2021):
(d)/Ʃ (d) * (33%)</t>
  </si>
  <si>
    <t xml:space="preserve"> IERi:
(2020)+(2021)+(2022)</t>
  </si>
  <si>
    <t>2022
(b)+(c)=(d)</t>
  </si>
  <si>
    <t>Fuente: La población municipal se tomó del censo 2020 del INEGI</t>
  </si>
  <si>
    <t>Los valores de Marginación (indice-de-marginacion-carencias-poblacionales-por-localidad-municipio-y-entidad), corresponden a los publicados por CONAPO en 2021.</t>
  </si>
  <si>
    <t xml:space="preserve">Ley de Coordinación Fiscal Estatal, Última Reforma: 30-diciembre-2021. </t>
  </si>
  <si>
    <t xml:space="preserve">   </t>
  </si>
  <si>
    <t xml:space="preserve"> IERi (2022):
(d)/Ʃ (d) * (33%)</t>
  </si>
  <si>
    <t>R1i (2023)</t>
  </si>
  <si>
    <t>2023
(b)+(c)=(d)</t>
  </si>
  <si>
    <t xml:space="preserve"> IERi (2023):
(d)/Ʃ (d) * (34%)</t>
  </si>
  <si>
    <t>Fracción III: R1i (2023)</t>
  </si>
  <si>
    <t xml:space="preserve"> IERi (2023) * (2.0%)</t>
  </si>
  <si>
    <t xml:space="preserve"> IERi:
(2021)+(2022)+(2023)</t>
  </si>
  <si>
    <t>DESARROLLO DEL FACTOR DE DISTRIBUCIÓN  (TABLA III) PERÍODO JULIO 2024 - JUNIO 2025</t>
  </si>
  <si>
    <t>DESARROLLO DE FACTOR DE DISTRIBUCIÓN  FOMUN 30%  (TABLA II) PERÍODO JULIO 2024 - JUNIO 2025</t>
  </si>
  <si>
    <t>DESARROLLO DE FACTOR DE DISTRIBUCIÓN  (TABLA  I) PERÍODO JULIO 2024 - JUNIO 2025</t>
  </si>
  <si>
    <t>Este cálculo considera la Recaudación del Impuesto Predial y Derechos de Agua 2023.</t>
  </si>
  <si>
    <t>El periodo corresponde de enero a junio de 2024.</t>
  </si>
  <si>
    <t>ABALA</t>
  </si>
  <si>
    <t>ACANCEH</t>
  </si>
  <si>
    <t>AKIL</t>
  </si>
  <si>
    <t>BACA</t>
  </si>
  <si>
    <t>BOKOBA</t>
  </si>
  <si>
    <t>BUCTZOTZ</t>
  </si>
  <si>
    <t>CACALCHEN</t>
  </si>
  <si>
    <t>CALOTMUL</t>
  </si>
  <si>
    <t>CANSAHCAB</t>
  </si>
  <si>
    <t>CANTAMAYEC</t>
  </si>
  <si>
    <t>CELESTUN</t>
  </si>
  <si>
    <t>CENOTILLO</t>
  </si>
  <si>
    <t>CONKAL</t>
  </si>
  <si>
    <t>CUNCUNUL</t>
  </si>
  <si>
    <t>CUZAMA</t>
  </si>
  <si>
    <t>CHACSINKIN</t>
  </si>
  <si>
    <t>CHANKOM</t>
  </si>
  <si>
    <t>CHEMAX</t>
  </si>
  <si>
    <t>CHICXULUB PUEBLO</t>
  </si>
  <si>
    <t>CHICHIMILA</t>
  </si>
  <si>
    <t>CHIKINDZONOT</t>
  </si>
  <si>
    <t>CHOCHOLA</t>
  </si>
  <si>
    <t>CHUMAYEL</t>
  </si>
  <si>
    <t>DZAN</t>
  </si>
  <si>
    <t>DZEMUL</t>
  </si>
  <si>
    <t>DZIDZANTUN</t>
  </si>
  <si>
    <t>DZILAM DE BRAVO</t>
  </si>
  <si>
    <t>DZILAM GONZALEZ</t>
  </si>
  <si>
    <t>DZITAS</t>
  </si>
  <si>
    <t>DZONCAUICH</t>
  </si>
  <si>
    <t>ESPITA</t>
  </si>
  <si>
    <t>HALACHO</t>
  </si>
  <si>
    <t>HOCABA</t>
  </si>
  <si>
    <t>HOCTUN</t>
  </si>
  <si>
    <t>HOMUN</t>
  </si>
  <si>
    <t>HUHI</t>
  </si>
  <si>
    <t>HUNUCMA</t>
  </si>
  <si>
    <t>IXIL</t>
  </si>
  <si>
    <t>IZAMAL</t>
  </si>
  <si>
    <t>KANASIN</t>
  </si>
  <si>
    <t>KANTUNIL</t>
  </si>
  <si>
    <t>KAUA</t>
  </si>
  <si>
    <t>KINCHIL</t>
  </si>
  <si>
    <t>KOPOMA</t>
  </si>
  <si>
    <t>MAMA</t>
  </si>
  <si>
    <t>MANI</t>
  </si>
  <si>
    <t>MAXCANU</t>
  </si>
  <si>
    <t>MAYAPAN</t>
  </si>
  <si>
    <t>MERIDA</t>
  </si>
  <si>
    <t>MOCOCHA</t>
  </si>
  <si>
    <t>MOTUL</t>
  </si>
  <si>
    <t>MUNA</t>
  </si>
  <si>
    <t>MUXUPIP</t>
  </si>
  <si>
    <t>OPICHEN</t>
  </si>
  <si>
    <t>OXKUTZCAB</t>
  </si>
  <si>
    <t>PANABA</t>
  </si>
  <si>
    <t>PETO</t>
  </si>
  <si>
    <t>PROGRESO</t>
  </si>
  <si>
    <t>QUINTANA ROO</t>
  </si>
  <si>
    <t>RIO LAGARTOS</t>
  </si>
  <si>
    <t>SACALUM</t>
  </si>
  <si>
    <t>SAMAHIL</t>
  </si>
  <si>
    <t>SANAHCAT</t>
  </si>
  <si>
    <t>SAN FELIPE</t>
  </si>
  <si>
    <t>SANTA ELENA</t>
  </si>
  <si>
    <t>SEYE</t>
  </si>
  <si>
    <t>SINANCHE</t>
  </si>
  <si>
    <t>SOTUTA</t>
  </si>
  <si>
    <t>SUCILA</t>
  </si>
  <si>
    <t>SUDZAL</t>
  </si>
  <si>
    <t>SUMA</t>
  </si>
  <si>
    <t>TAHDZIU</t>
  </si>
  <si>
    <t>TAHMEK</t>
  </si>
  <si>
    <t>TEABO</t>
  </si>
  <si>
    <t>TECOH</t>
  </si>
  <si>
    <t>TEKAL DE VENEGAS</t>
  </si>
  <si>
    <t>TEKANTO</t>
  </si>
  <si>
    <t>TEKAX</t>
  </si>
  <si>
    <t>TEKIT</t>
  </si>
  <si>
    <t>TEKOM</t>
  </si>
  <si>
    <t>TELCHAC PUEBLO</t>
  </si>
  <si>
    <t>TELCHAC PUERTO</t>
  </si>
  <si>
    <t>TEMAX</t>
  </si>
  <si>
    <t>TEMOZON</t>
  </si>
  <si>
    <t>TEPAKAN</t>
  </si>
  <si>
    <t>TETIZ</t>
  </si>
  <si>
    <t>TEYA</t>
  </si>
  <si>
    <t>TICUL</t>
  </si>
  <si>
    <t>TIMUCUY</t>
  </si>
  <si>
    <t>TINUM</t>
  </si>
  <si>
    <t>TIXCACALCUPUL</t>
  </si>
  <si>
    <t>TIXKOKOB</t>
  </si>
  <si>
    <t>TIXMEUAC</t>
  </si>
  <si>
    <t>TIXPEUAL</t>
  </si>
  <si>
    <t>TIZIMIN</t>
  </si>
  <si>
    <t>TUNKAS</t>
  </si>
  <si>
    <t>TZUCACAB</t>
  </si>
  <si>
    <t>UAYMA</t>
  </si>
  <si>
    <t>UCU</t>
  </si>
  <si>
    <t>UMAN</t>
  </si>
  <si>
    <t>VALLADOLID</t>
  </si>
  <si>
    <t>XOCCHEL</t>
  </si>
  <si>
    <t>YAXCABA</t>
  </si>
  <si>
    <t>YAXKUKUL</t>
  </si>
  <si>
    <t>YOBAIN</t>
  </si>
  <si>
    <t>ABALÁ</t>
  </si>
  <si>
    <t>BOKOBÁ</t>
  </si>
  <si>
    <t>CACALCHÉN</t>
  </si>
  <si>
    <t>CELESTÚN</t>
  </si>
  <si>
    <t>CUZAMÁ</t>
  </si>
  <si>
    <t>CHACSINKÍN</t>
  </si>
  <si>
    <t>CHICHIMILÁ</t>
  </si>
  <si>
    <t>CHOCHOLÁ</t>
  </si>
  <si>
    <t>DZIDZANTÚN</t>
  </si>
  <si>
    <t>DZILAM GONZÁLEZ</t>
  </si>
  <si>
    <t>DZITÁS</t>
  </si>
  <si>
    <t>HALACHÓ</t>
  </si>
  <si>
    <t>HOCABÁ</t>
  </si>
  <si>
    <t>HOCTÚN</t>
  </si>
  <si>
    <t>HOMÚN</t>
  </si>
  <si>
    <t>HUHÍ</t>
  </si>
  <si>
    <t>HUNUCMÁ</t>
  </si>
  <si>
    <t>KANASÍN</t>
  </si>
  <si>
    <t>KOPOMÁ</t>
  </si>
  <si>
    <t>MANÍ</t>
  </si>
  <si>
    <t>MAXCANÚ</t>
  </si>
  <si>
    <t>MAYAPÁN</t>
  </si>
  <si>
    <t>MÉRIDA</t>
  </si>
  <si>
    <t>MOCOCHÁ</t>
  </si>
  <si>
    <t>OPICHÉN</t>
  </si>
  <si>
    <t>PANABÁ</t>
  </si>
  <si>
    <t>RÍO LAGARTOS</t>
  </si>
  <si>
    <t>SEYÉ</t>
  </si>
  <si>
    <t>SINANCHÉ</t>
  </si>
  <si>
    <t>SUCILÁ</t>
  </si>
  <si>
    <t>TAHDZIÚ</t>
  </si>
  <si>
    <t>TEKANTÓ</t>
  </si>
  <si>
    <t>TEMOZÓN</t>
  </si>
  <si>
    <t>TEPAKÁN</t>
  </si>
  <si>
    <t>TETÍZ</t>
  </si>
  <si>
    <t>TIXMÉHUAC</t>
  </si>
  <si>
    <t>TIXPÉHUAL</t>
  </si>
  <si>
    <t>TIZIMÍN</t>
  </si>
  <si>
    <t>TUNKÁS</t>
  </si>
  <si>
    <t>UCÚ</t>
  </si>
  <si>
    <t>UMÁN</t>
  </si>
  <si>
    <t>YAXCABÁ</t>
  </si>
  <si>
    <t>YOBAÍN</t>
  </si>
  <si>
    <t>106 YOBAIN, YUC.</t>
  </si>
  <si>
    <t>104 YAXCABA, YUC.</t>
  </si>
  <si>
    <t>103 XOCCHEL, YUC.</t>
  </si>
  <si>
    <t>102 VALLADOLID, YUC.</t>
  </si>
  <si>
    <t>101 UMAN, YUC.</t>
  </si>
  <si>
    <t>099 UAYMA, YUC.</t>
  </si>
  <si>
    <t>098 TZUCACAB, YUC.</t>
  </si>
  <si>
    <t>097 TUNKAS, YUC.</t>
  </si>
  <si>
    <t>096 TIZIMIN, YUC.</t>
  </si>
  <si>
    <t>095 TIXPEUAL, YUC.</t>
  </si>
  <si>
    <t>092 TIXCACALCUPUL, YUC.</t>
  </si>
  <si>
    <t>090 TIMUCUY, YUC.</t>
  </si>
  <si>
    <t>089 TICUL, YUC.</t>
  </si>
  <si>
    <t>088 TEYA, YUC.</t>
  </si>
  <si>
    <t>087 TETIZ, YUC.</t>
  </si>
  <si>
    <t>086 TEPAKAN, YUC.</t>
  </si>
  <si>
    <t>085 TEMOZON, YUC.</t>
  </si>
  <si>
    <t>084 TEMAX, YUC.</t>
  </si>
  <si>
    <t>082 TELCHAC PUEBLO, YUC.</t>
  </si>
  <si>
    <t>081 TEKOM, YUC.</t>
  </si>
  <si>
    <t>080 TEKIT, YUC.</t>
  </si>
  <si>
    <t>079 TEKAX, YUC.</t>
  </si>
  <si>
    <t>078 TEKANTO, YUC.</t>
  </si>
  <si>
    <t>076 TECOH, YUC.</t>
  </si>
  <si>
    <t>075 TEABO, YUC.</t>
  </si>
  <si>
    <t>073 TAHDZIU, YUC.</t>
  </si>
  <si>
    <t>072 SUMA, YUC.</t>
  </si>
  <si>
    <t>071 SUDZAL, YUC.</t>
  </si>
  <si>
    <t>070 SUCILA, YUC.</t>
  </si>
  <si>
    <t>069 SOTUTA, YUC.</t>
  </si>
  <si>
    <t>066 SANTA ELENA, YUC.</t>
  </si>
  <si>
    <t>064 SANAHCAT, YUC.</t>
  </si>
  <si>
    <t>063 SAMAHIL, YUC.</t>
  </si>
  <si>
    <t>062 SACALUM, YUC.</t>
  </si>
  <si>
    <t>060 QUINTANA ROO, YUC.</t>
  </si>
  <si>
    <t>059 PROGRESO, YUC.</t>
  </si>
  <si>
    <t>058 PETO, YUC.</t>
  </si>
  <si>
    <t>057 PANABA, YUC.</t>
  </si>
  <si>
    <t>054 MUXUPIP, YUC.</t>
  </si>
  <si>
    <t>053 MUNA, YUC.</t>
  </si>
  <si>
    <t>052 MOTUL, YUC.</t>
  </si>
  <si>
    <t>049 MAYAPAN, YUC.</t>
  </si>
  <si>
    <t>048 MAXCANU, YUC.</t>
  </si>
  <si>
    <t>047 MANI, YUC.</t>
  </si>
  <si>
    <t>045 KOPOMA, YUC.</t>
  </si>
  <si>
    <t>044 KINCHIL, YUC.</t>
  </si>
  <si>
    <t>042 KANTUNIL, YUC.</t>
  </si>
  <si>
    <t>041 KANASIN, YUC.</t>
  </si>
  <si>
    <t>040 IZAMAL, YUC.</t>
  </si>
  <si>
    <t>039 IXIL, YUC.</t>
  </si>
  <si>
    <t>038 HUNUCMA, YUC.</t>
  </si>
  <si>
    <t>036 HOMUN, YUC.</t>
  </si>
  <si>
    <t>034 HOCABA, YUC.</t>
  </si>
  <si>
    <t>033 HALACHO, YUC.</t>
  </si>
  <si>
    <t>032 ESPITA, YUC.</t>
  </si>
  <si>
    <t>031 DZONCAUICH, YUC.</t>
  </si>
  <si>
    <t>030 DZITAS, YUC.</t>
  </si>
  <si>
    <t>029 DZILAM GONZALEZ, YUC.</t>
  </si>
  <si>
    <t>028 DZILAM DE BRAVO, YUC.</t>
  </si>
  <si>
    <t>027 DZIDZANTUN, YUC.</t>
  </si>
  <si>
    <t>026 DZEMUL, YUC.</t>
  </si>
  <si>
    <t>025 DZAN, YUC.</t>
  </si>
  <si>
    <t>024 CHUMAYEL, YUC.</t>
  </si>
  <si>
    <t>023 CHOCHOLA, YUC.</t>
  </si>
  <si>
    <t>021 CHICHIMILA, YUC.</t>
  </si>
  <si>
    <t>020 CHICXULUB PUEBLO, YUC.</t>
  </si>
  <si>
    <t>019 CHEMAX, YUC.</t>
  </si>
  <si>
    <t>018 CHAPAB,YUC.</t>
  </si>
  <si>
    <t>017 CHANKOM, YUC.</t>
  </si>
  <si>
    <t>016 CHACSINKIN, YUC.</t>
  </si>
  <si>
    <t>015 CUZAMA, YUC.</t>
  </si>
  <si>
    <t>013 CONKAL, YUC.</t>
  </si>
  <si>
    <t>011 CELESTUN, YUC.</t>
  </si>
  <si>
    <t>010 CANTAMAYEC, YUC.</t>
  </si>
  <si>
    <t>009 CANSAHCAB, YUC.</t>
  </si>
  <si>
    <t>008 CALOTMUL, YUC.</t>
  </si>
  <si>
    <t>007 CACALCHEN, YUC.</t>
  </si>
  <si>
    <t>006 BUCTZOTZ, YUC.</t>
  </si>
  <si>
    <t>005 BOKOBA, YUC.</t>
  </si>
  <si>
    <t>003 AKIL, YUC.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</si>
</sst>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-* #,##0_-;\-* #,##0_-;_-* &quot;-&quot;_-;_-@_-"/>
    <numFmt numFmtId="43" formatCode="_-* #,##0.00_-;\-* #,##0.00_-;_-* &quot;-&quot;??_-;_-@_-"/>
    <numFmt numFmtId="164" formatCode="_-* #,##0.00000_-;\-* #,##0.00000_-;_-* &quot;-&quot;?????_-;_-@_-"/>
    <numFmt numFmtId="165" formatCode="_-* #,##0.00000_-;\-* #,##0.00000_-;_-* &quot;-&quot;??_-;_-@_-"/>
    <numFmt numFmtId="166" formatCode="_-* #,##0.000000_-;\-* #,##0.000000_-;_-* &quot;-&quot;??_-;_-@_-"/>
    <numFmt numFmtId="167" formatCode="_-* #,##0_-;\-* #,##0_-;_-* &quot;-&quot;??_-;_-@_-"/>
    <numFmt numFmtId="168" formatCode="0.0000000"/>
    <numFmt numFmtId="169" formatCode="0.0000000000"/>
    <numFmt numFmtId="170" formatCode="_-* #,##0.000000000_-;\-* #,##0.000000000_-;_-* &quot;-&quot;??_-;_-@_-"/>
    <numFmt numFmtId="171" formatCode="#,##0.00000000"/>
    <numFmt numFmtId="172" formatCode="0.00000000"/>
    <numFmt numFmtId="173" formatCode="#,##0.0"/>
    <numFmt numFmtId="174" formatCode="0.000000"/>
    <numFmt numFmtId="175" formatCode="#,##0.000000"/>
    <numFmt numFmtId="176" formatCode="#,##0.0000000000"/>
    <numFmt numFmtId="177" formatCode="_-* #,##0.00000000_-;\-* #,##0.00000000_-;_-* &quot;-&quot;??_-;_-@_-"/>
    <numFmt numFmtId="178" formatCode="0.00000"/>
    <numFmt numFmtId="179" formatCode="_-* #,##0.0000000000_-;\-* #,##0.0000000000_-;_-* &quot;-&quot;??_-;_-@_-"/>
    <numFmt numFmtId="180" formatCode="_-* #,##0.0000000000000_-;\-* #,##0.0000000000000_-;_-* &quot;-&quot;??_-;_-@_-"/>
    <numFmt numFmtId="181" formatCode="0.000000000000000"/>
    <numFmt numFmtId="182" formatCode="0.000000000"/>
  </numFmts>
  <fonts count="1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0"/>
      <color rgb="FF000000"/>
      <name val="Arial Narrow"/>
      <family val="2"/>
    </font>
    <font>
      <b/>
      <sz val="12"/>
      <color theme="1"/>
      <name val="Arial"/>
      <family val="2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0007281303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030A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17" fillId="0" borderId="0">
      <alignment/>
      <protection/>
    </xf>
  </cellStyleXfs>
  <cellXfs count="105">
    <xf numFmtId="0" fontId="0" fillId="0" borderId="0" xfId="0"/>
    <xf numFmtId="0" fontId="0" fillId="0" borderId="0" xfId="0" applyFill="1"/>
    <xf numFmtId="164" fontId="0" fillId="0" borderId="0" xfId="0" applyNumberFormat="1"/>
    <xf numFmtId="43" fontId="0" fillId="0" borderId="0" xfId="0" applyNumberFormat="1"/>
    <xf numFmtId="165" fontId="0" fillId="0" borderId="0" xfId="0" applyNumberFormat="1"/>
    <xf numFmtId="0" fontId="3" fillId="0" borderId="0" xfId="0" applyFont="1"/>
    <xf numFmtId="0" fontId="5" fillId="0" borderId="0" xfId="0" applyFont="1"/>
    <xf numFmtId="166" fontId="6" fillId="2" borderId="1" xfId="20" applyNumberFormat="1" applyFont="1" applyFill="1" applyBorder="1" applyAlignment="1">
      <alignment vertical="center"/>
    </xf>
    <xf numFmtId="165" fontId="6" fillId="3" borderId="1" xfId="20" applyNumberFormat="1" applyFont="1" applyFill="1" applyBorder="1" applyAlignment="1">
      <alignment vertical="center"/>
    </xf>
    <xf numFmtId="165" fontId="6" fillId="2" borderId="1" xfId="20" applyNumberFormat="1" applyFont="1" applyFill="1" applyBorder="1" applyAlignment="1">
      <alignment vertical="center"/>
    </xf>
    <xf numFmtId="167" fontId="6" fillId="2" borderId="1" xfId="20" applyNumberFormat="1" applyFont="1" applyFill="1" applyBorder="1" applyAlignment="1">
      <alignment vertical="center"/>
    </xf>
    <xf numFmtId="166" fontId="6" fillId="2" borderId="1" xfId="20" applyNumberFormat="1" applyFont="1" applyFill="1" applyBorder="1" applyAlignment="1">
      <alignment horizontal="center" vertical="center"/>
    </xf>
    <xf numFmtId="166" fontId="6" fillId="3" borderId="1" xfId="20" applyNumberFormat="1" applyFont="1" applyFill="1" applyBorder="1" applyAlignment="1">
      <alignment horizontal="center" vertical="center"/>
    </xf>
    <xf numFmtId="166" fontId="6" fillId="3" borderId="1" xfId="20" applyNumberFormat="1" applyFont="1" applyFill="1" applyBorder="1" applyAlignment="1">
      <alignment vertical="center"/>
    </xf>
    <xf numFmtId="166" fontId="6" fillId="4" borderId="1" xfId="20" applyNumberFormat="1" applyFont="1" applyFill="1" applyBorder="1" applyAlignment="1">
      <alignment vertical="center"/>
    </xf>
    <xf numFmtId="165" fontId="6" fillId="5" borderId="1" xfId="20" applyNumberFormat="1" applyFont="1" applyFill="1" applyBorder="1" applyAlignment="1">
      <alignment vertical="center"/>
    </xf>
    <xf numFmtId="41" fontId="6" fillId="2" borderId="1" xfId="2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 quotePrefix="1">
      <alignment horizontal="left" vertical="center"/>
    </xf>
    <xf numFmtId="0" fontId="5" fillId="0" borderId="0" xfId="0" applyFont="1" applyFill="1"/>
    <xf numFmtId="168" fontId="5" fillId="0" borderId="0" xfId="0" applyNumberFormat="1" applyFont="1"/>
    <xf numFmtId="0" fontId="5" fillId="0" borderId="1" xfId="0" applyFont="1" applyBorder="1"/>
    <xf numFmtId="169" fontId="5" fillId="0" borderId="1" xfId="0" applyNumberFormat="1" applyFont="1" applyBorder="1"/>
    <xf numFmtId="170" fontId="5" fillId="0" borderId="1" xfId="0" applyNumberFormat="1" applyFont="1" applyBorder="1"/>
    <xf numFmtId="0" fontId="5" fillId="0" borderId="1" xfId="0" applyFont="1" applyFill="1" applyBorder="1"/>
    <xf numFmtId="171" fontId="5" fillId="0" borderId="1" xfId="0" applyNumberFormat="1" applyFont="1" applyBorder="1"/>
    <xf numFmtId="172" fontId="5" fillId="0" borderId="1" xfId="0" applyNumberFormat="1" applyFont="1" applyBorder="1"/>
    <xf numFmtId="173" fontId="5" fillId="0" borderId="1" xfId="0" applyNumberFormat="1" applyFont="1" applyBorder="1"/>
    <xf numFmtId="173" fontId="5" fillId="0" borderId="1" xfId="0" applyNumberFormat="1" applyFont="1" applyBorder="1" applyAlignment="1">
      <alignment horizontal="right"/>
    </xf>
    <xf numFmtId="174" fontId="5" fillId="0" borderId="1" xfId="0" applyNumberFormat="1" applyFont="1" applyBorder="1"/>
    <xf numFmtId="175" fontId="5" fillId="0" borderId="1" xfId="0" applyNumberFormat="1" applyFont="1" applyBorder="1"/>
    <xf numFmtId="166" fontId="5" fillId="0" borderId="1" xfId="0" applyNumberFormat="1" applyFont="1" applyBorder="1"/>
    <xf numFmtId="3" fontId="8" fillId="0" borderId="1" xfId="0" applyNumberFormat="1" applyFont="1" applyFill="1" applyBorder="1" applyAlignment="1" quotePrefix="1">
      <alignment horizontal="left" vertical="center"/>
    </xf>
    <xf numFmtId="0" fontId="5" fillId="0" borderId="1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left" vertical="center"/>
    </xf>
    <xf numFmtId="169" fontId="5" fillId="0" borderId="1" xfId="0" applyNumberFormat="1" applyFont="1" applyFill="1" applyBorder="1"/>
    <xf numFmtId="170" fontId="5" fillId="0" borderId="1" xfId="0" applyNumberFormat="1" applyFont="1" applyFill="1" applyBorder="1"/>
    <xf numFmtId="171" fontId="5" fillId="0" borderId="1" xfId="0" applyNumberFormat="1" applyFont="1" applyFill="1" applyBorder="1"/>
    <xf numFmtId="172" fontId="5" fillId="0" borderId="1" xfId="0" applyNumberFormat="1" applyFont="1" applyFill="1" applyBorder="1"/>
    <xf numFmtId="173" fontId="5" fillId="0" borderId="1" xfId="0" applyNumberFormat="1" applyFont="1" applyFill="1" applyBorder="1"/>
    <xf numFmtId="173" fontId="5" fillId="0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/>
    <xf numFmtId="165" fontId="11" fillId="6" borderId="1" xfId="20" applyNumberFormat="1" applyFont="1" applyFill="1" applyBorder="1" applyAlignment="1">
      <alignment vertical="center"/>
    </xf>
    <xf numFmtId="166" fontId="11" fillId="6" borderId="1" xfId="20" applyNumberFormat="1" applyFont="1" applyFill="1" applyBorder="1" applyAlignment="1">
      <alignment horizontal="center" vertical="center"/>
    </xf>
    <xf numFmtId="166" fontId="11" fillId="6" borderId="1" xfId="20" applyNumberFormat="1" applyFont="1" applyFill="1" applyBorder="1" applyAlignment="1">
      <alignment vertical="center"/>
    </xf>
    <xf numFmtId="174" fontId="5" fillId="0" borderId="1" xfId="0" applyNumberFormat="1" applyFont="1" applyFill="1" applyBorder="1"/>
    <xf numFmtId="176" fontId="5" fillId="0" borderId="1" xfId="0" applyNumberFormat="1" applyFont="1" applyBorder="1"/>
    <xf numFmtId="175" fontId="5" fillId="0" borderId="1" xfId="0" applyNumberFormat="1" applyFont="1" applyFill="1" applyBorder="1"/>
    <xf numFmtId="0" fontId="5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2" fillId="6" borderId="1" xfId="0" applyFont="1" applyFill="1" applyBorder="1"/>
    <xf numFmtId="177" fontId="5" fillId="0" borderId="2" xfId="0" applyNumberFormat="1" applyFont="1" applyBorder="1"/>
    <xf numFmtId="0" fontId="5" fillId="0" borderId="2" xfId="0" applyFont="1" applyBorder="1"/>
    <xf numFmtId="166" fontId="5" fillId="0" borderId="2" xfId="0" applyNumberFormat="1" applyFont="1" applyBorder="1"/>
    <xf numFmtId="0" fontId="7" fillId="0" borderId="2" xfId="0" applyFont="1" applyBorder="1" applyAlignment="1">
      <alignment horizontal="justify" vertical="center"/>
    </xf>
    <xf numFmtId="3" fontId="12" fillId="0" borderId="1" xfId="0" applyNumberFormat="1" applyFont="1" applyFill="1" applyBorder="1" applyAlignment="1" quotePrefix="1">
      <alignment horizontal="left" vertical="center"/>
    </xf>
    <xf numFmtId="3" fontId="12" fillId="0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169" fontId="5" fillId="0" borderId="0" xfId="21" applyNumberFormat="1" applyFont="1" applyFill="1" applyBorder="1"/>
    <xf numFmtId="169" fontId="5" fillId="0" borderId="0" xfId="21" applyNumberFormat="1" applyFont="1" applyBorder="1"/>
    <xf numFmtId="166" fontId="6" fillId="2" borderId="0" xfId="20" applyNumberFormat="1" applyFont="1" applyFill="1" applyBorder="1" applyAlignment="1">
      <alignment vertical="center"/>
    </xf>
    <xf numFmtId="170" fontId="5" fillId="0" borderId="1" xfId="21" applyNumberFormat="1" applyFont="1" applyBorder="1"/>
    <xf numFmtId="170" fontId="5" fillId="0" borderId="1" xfId="21" applyNumberFormat="1" applyFont="1" applyFill="1" applyBorder="1"/>
    <xf numFmtId="179" fontId="5" fillId="0" borderId="0" xfId="0" applyNumberFormat="1" applyFont="1"/>
    <xf numFmtId="1" fontId="0" fillId="0" borderId="1" xfId="0" applyNumberFormat="1" applyFill="1" applyBorder="1"/>
    <xf numFmtId="178" fontId="5" fillId="0" borderId="1" xfId="0" applyNumberFormat="1" applyFont="1" applyFill="1" applyBorder="1"/>
    <xf numFmtId="180" fontId="0" fillId="0" borderId="0" xfId="0" applyNumberFormat="1"/>
    <xf numFmtId="180" fontId="13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0" fillId="0" borderId="0" xfId="0" applyNumberFormat="1"/>
    <xf numFmtId="0" fontId="10" fillId="0" borderId="0" xfId="0" applyFont="1" applyAlignment="1">
      <alignment horizontal="center"/>
    </xf>
    <xf numFmtId="179" fontId="5" fillId="0" borderId="1" xfId="21" applyNumberFormat="1" applyFont="1" applyBorder="1"/>
    <xf numFmtId="179" fontId="5" fillId="0" borderId="1" xfId="21" applyNumberFormat="1" applyFont="1" applyFill="1" applyBorder="1"/>
    <xf numFmtId="182" fontId="5" fillId="0" borderId="0" xfId="21" applyNumberFormat="1" applyFont="1" applyFill="1" applyBorder="1"/>
    <xf numFmtId="170" fontId="5" fillId="0" borderId="0" xfId="21" applyNumberFormat="1" applyFont="1" applyFill="1" applyBorder="1" applyAlignment="1">
      <alignment horizontal="center"/>
    </xf>
    <xf numFmtId="172" fontId="5" fillId="0" borderId="0" xfId="21" applyNumberFormat="1" applyFont="1" applyFill="1" applyBorder="1"/>
    <xf numFmtId="179" fontId="5" fillId="0" borderId="1" xfId="0" applyNumberFormat="1" applyFont="1" applyBorder="1"/>
    <xf numFmtId="179" fontId="5" fillId="0" borderId="2" xfId="0" applyNumberFormat="1" applyFont="1" applyBorder="1"/>
    <xf numFmtId="179" fontId="0" fillId="0" borderId="1" xfId="0" applyNumberFormat="1" applyFill="1" applyBorder="1"/>
    <xf numFmtId="179" fontId="5" fillId="0" borderId="0" xfId="0" applyNumberFormat="1" applyFont="1" applyFill="1"/>
    <xf numFmtId="0" fontId="10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Millares" xfId="20" builtinId="3"/>
    <cellStyle name="Porcentaje" xfId="21" builtinId="5"/>
    <cellStyle name="Normal 2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5" Type="http://schemas.openxmlformats.org/officeDocument/2006/relationships/worksheet" Target="worksheets/sheet3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9"/>
  <sheetViews>
    <sheetView tabSelected="1" workbookViewId="0" topLeftCell="A1">
      <pane xSplit="3" ySplit="4" topLeftCell="D5" activePane="bottomRight" state="frozen"/>
      <selection pane="topLeft" activeCell="T115" sqref="T115"/>
      <selection pane="bottomLeft" activeCell="T115" sqref="T115"/>
      <selection pane="topRight" activeCell="T115" sqref="T115"/>
      <selection pane="bottomRight" activeCell="D1" sqref="D1:AD1"/>
    </sheetView>
  </sheetViews>
  <sheetFormatPr defaultColWidth="11.424285714285714" defaultRowHeight="15"/>
  <cols>
    <col min="1" max="1" width="5.428571428571429" hidden="1" customWidth="1"/>
    <col min="2" max="2" width="3.4285714285714284" bestFit="1" customWidth="1"/>
    <col min="3" max="3" width="14.857142857142858" customWidth="1"/>
    <col min="5" max="5" width="12" bestFit="1" customWidth="1"/>
    <col min="6" max="6" width="13.285714285714286" customWidth="1"/>
    <col min="9" max="9" width="12" bestFit="1" customWidth="1"/>
    <col min="12" max="12" width="12" bestFit="1" customWidth="1"/>
    <col min="14" max="14" width="12" bestFit="1" customWidth="1"/>
    <col min="17" max="17" width="13.428571428571429" customWidth="1"/>
    <col min="18" max="18" width="13.142857142857142" customWidth="1"/>
    <col min="19" max="19" width="14" customWidth="1"/>
    <col min="20" max="20" width="11.714285714285714" bestFit="1" customWidth="1"/>
    <col min="22" max="22" width="12.571428571428571" customWidth="1"/>
    <col min="25" max="25" width="11.428571428571429" style="1"/>
    <col min="26" max="26" width="11.714285714285714" bestFit="1" customWidth="1"/>
    <col min="27" max="29" width="12.857142857142858" bestFit="1" customWidth="1"/>
    <col min="30" max="30" width="13.571428571428571" customWidth="1"/>
    <col min="31" max="31" width="13.714285714285714" bestFit="1" customWidth="1"/>
    <col min="250" max="250" width="3.4285714285714284" bestFit="1" customWidth="1"/>
    <col min="251" max="251" width="14.857142857142858" customWidth="1"/>
    <col min="254" max="254" width="13.285714285714286" customWidth="1"/>
    <col min="265" max="265" width="13.428571428571429" customWidth="1"/>
    <col min="266" max="266" width="13.142857142857142" customWidth="1"/>
    <col min="267" max="267" width="14" customWidth="1"/>
    <col min="275" max="275" width="13.714285714285714" customWidth="1"/>
    <col min="279" max="279" width="13.571428571428571" customWidth="1"/>
    <col min="506" max="506" width="3.4285714285714284" bestFit="1" customWidth="1"/>
    <col min="507" max="507" width="14.857142857142858" customWidth="1"/>
    <col min="510" max="510" width="13.285714285714286" customWidth="1"/>
    <col min="521" max="521" width="13.428571428571429" customWidth="1"/>
    <col min="522" max="522" width="13.142857142857142" customWidth="1"/>
    <col min="523" max="523" width="14" customWidth="1"/>
    <col min="531" max="531" width="13.714285714285714" customWidth="1"/>
    <col min="535" max="535" width="13.571428571428571" customWidth="1"/>
    <col min="762" max="762" width="3.4285714285714284" bestFit="1" customWidth="1"/>
    <col min="763" max="763" width="14.857142857142858" customWidth="1"/>
    <col min="766" max="766" width="13.285714285714286" customWidth="1"/>
    <col min="777" max="777" width="13.428571428571429" customWidth="1"/>
    <col min="778" max="778" width="13.142857142857142" customWidth="1"/>
    <col min="779" max="779" width="14" customWidth="1"/>
    <col min="787" max="787" width="13.714285714285714" customWidth="1"/>
    <col min="791" max="791" width="13.571428571428571" customWidth="1"/>
    <col min="1018" max="1018" width="3.4285714285714284" bestFit="1" customWidth="1"/>
    <col min="1019" max="1019" width="14.857142857142858" customWidth="1"/>
    <col min="1022" max="1022" width="13.285714285714286" customWidth="1"/>
    <col min="1033" max="1033" width="13.428571428571429" customWidth="1"/>
    <col min="1034" max="1034" width="13.142857142857142" customWidth="1"/>
    <col min="1035" max="1035" width="14" customWidth="1"/>
    <col min="1043" max="1043" width="13.714285714285714" customWidth="1"/>
    <col min="1047" max="1047" width="13.571428571428571" customWidth="1"/>
    <col min="1274" max="1274" width="3.4285714285714284" bestFit="1" customWidth="1"/>
    <col min="1275" max="1275" width="14.857142857142858" customWidth="1"/>
    <col min="1278" max="1278" width="13.285714285714286" customWidth="1"/>
    <col min="1289" max="1289" width="13.428571428571429" customWidth="1"/>
    <col min="1290" max="1290" width="13.142857142857142" customWidth="1"/>
    <col min="1291" max="1291" width="14" customWidth="1"/>
    <col min="1299" max="1299" width="13.714285714285714" customWidth="1"/>
    <col min="1303" max="1303" width="13.571428571428571" customWidth="1"/>
    <col min="1530" max="1530" width="3.4285714285714284" bestFit="1" customWidth="1"/>
    <col min="1531" max="1531" width="14.857142857142858" customWidth="1"/>
    <col min="1534" max="1534" width="13.285714285714286" customWidth="1"/>
    <col min="1545" max="1545" width="13.428571428571429" customWidth="1"/>
    <col min="1546" max="1546" width="13.142857142857142" customWidth="1"/>
    <col min="1547" max="1547" width="14" customWidth="1"/>
    <col min="1555" max="1555" width="13.714285714285714" customWidth="1"/>
    <col min="1559" max="1559" width="13.571428571428571" customWidth="1"/>
    <col min="1786" max="1786" width="3.4285714285714284" bestFit="1" customWidth="1"/>
    <col min="1787" max="1787" width="14.857142857142858" customWidth="1"/>
    <col min="1790" max="1790" width="13.285714285714286" customWidth="1"/>
    <col min="1801" max="1801" width="13.428571428571429" customWidth="1"/>
    <col min="1802" max="1802" width="13.142857142857142" customWidth="1"/>
    <col min="1803" max="1803" width="14" customWidth="1"/>
    <col min="1811" max="1811" width="13.714285714285714" customWidth="1"/>
    <col min="1815" max="1815" width="13.571428571428571" customWidth="1"/>
    <col min="2042" max="2042" width="3.4285714285714284" bestFit="1" customWidth="1"/>
    <col min="2043" max="2043" width="14.857142857142858" customWidth="1"/>
    <col min="2046" max="2046" width="13.285714285714286" customWidth="1"/>
    <col min="2057" max="2057" width="13.428571428571429" customWidth="1"/>
    <col min="2058" max="2058" width="13.142857142857142" customWidth="1"/>
    <col min="2059" max="2059" width="14" customWidth="1"/>
    <col min="2067" max="2067" width="13.714285714285714" customWidth="1"/>
    <col min="2071" max="2071" width="13.571428571428571" customWidth="1"/>
    <col min="2298" max="2298" width="3.4285714285714284" bestFit="1" customWidth="1"/>
    <col min="2299" max="2299" width="14.857142857142858" customWidth="1"/>
    <col min="2302" max="2302" width="13.285714285714286" customWidth="1"/>
    <col min="2313" max="2313" width="13.428571428571429" customWidth="1"/>
    <col min="2314" max="2314" width="13.142857142857142" customWidth="1"/>
    <col min="2315" max="2315" width="14" customWidth="1"/>
    <col min="2323" max="2323" width="13.714285714285714" customWidth="1"/>
    <col min="2327" max="2327" width="13.571428571428571" customWidth="1"/>
    <col min="2554" max="2554" width="3.4285714285714284" bestFit="1" customWidth="1"/>
    <col min="2555" max="2555" width="14.857142857142858" customWidth="1"/>
    <col min="2558" max="2558" width="13.285714285714286" customWidth="1"/>
    <col min="2569" max="2569" width="13.428571428571429" customWidth="1"/>
    <col min="2570" max="2570" width="13.142857142857142" customWidth="1"/>
    <col min="2571" max="2571" width="14" customWidth="1"/>
    <col min="2579" max="2579" width="13.714285714285714" customWidth="1"/>
    <col min="2583" max="2583" width="13.571428571428571" customWidth="1"/>
    <col min="2810" max="2810" width="3.4285714285714284" bestFit="1" customWidth="1"/>
    <col min="2811" max="2811" width="14.857142857142858" customWidth="1"/>
    <col min="2814" max="2814" width="13.285714285714286" customWidth="1"/>
    <col min="2825" max="2825" width="13.428571428571429" customWidth="1"/>
    <col min="2826" max="2826" width="13.142857142857142" customWidth="1"/>
    <col min="2827" max="2827" width="14" customWidth="1"/>
    <col min="2835" max="2835" width="13.714285714285714" customWidth="1"/>
    <col min="2839" max="2839" width="13.571428571428571" customWidth="1"/>
    <col min="3066" max="3066" width="3.4285714285714284" bestFit="1" customWidth="1"/>
    <col min="3067" max="3067" width="14.857142857142858" customWidth="1"/>
    <col min="3070" max="3070" width="13.285714285714286" customWidth="1"/>
    <col min="3081" max="3081" width="13.428571428571429" customWidth="1"/>
    <col min="3082" max="3082" width="13.142857142857142" customWidth="1"/>
    <col min="3083" max="3083" width="14" customWidth="1"/>
    <col min="3091" max="3091" width="13.714285714285714" customWidth="1"/>
    <col min="3095" max="3095" width="13.571428571428571" customWidth="1"/>
    <col min="3322" max="3322" width="3.4285714285714284" bestFit="1" customWidth="1"/>
    <col min="3323" max="3323" width="14.857142857142858" customWidth="1"/>
    <col min="3326" max="3326" width="13.285714285714286" customWidth="1"/>
    <col min="3337" max="3337" width="13.428571428571429" customWidth="1"/>
    <col min="3338" max="3338" width="13.142857142857142" customWidth="1"/>
    <col min="3339" max="3339" width="14" customWidth="1"/>
    <col min="3347" max="3347" width="13.714285714285714" customWidth="1"/>
    <col min="3351" max="3351" width="13.571428571428571" customWidth="1"/>
    <col min="3578" max="3578" width="3.4285714285714284" bestFit="1" customWidth="1"/>
    <col min="3579" max="3579" width="14.857142857142858" customWidth="1"/>
    <col min="3582" max="3582" width="13.285714285714286" customWidth="1"/>
    <col min="3593" max="3593" width="13.428571428571429" customWidth="1"/>
    <col min="3594" max="3594" width="13.142857142857142" customWidth="1"/>
    <col min="3595" max="3595" width="14" customWidth="1"/>
    <col min="3603" max="3603" width="13.714285714285714" customWidth="1"/>
    <col min="3607" max="3607" width="13.571428571428571" customWidth="1"/>
    <col min="3834" max="3834" width="3.4285714285714284" bestFit="1" customWidth="1"/>
    <col min="3835" max="3835" width="14.857142857142858" customWidth="1"/>
    <col min="3838" max="3838" width="13.285714285714286" customWidth="1"/>
    <col min="3849" max="3849" width="13.428571428571429" customWidth="1"/>
    <col min="3850" max="3850" width="13.142857142857142" customWidth="1"/>
    <col min="3851" max="3851" width="14" customWidth="1"/>
    <col min="3859" max="3859" width="13.714285714285714" customWidth="1"/>
    <col min="3863" max="3863" width="13.571428571428571" customWidth="1"/>
    <col min="4090" max="4090" width="3.4285714285714284" bestFit="1" customWidth="1"/>
    <col min="4091" max="4091" width="14.857142857142858" customWidth="1"/>
    <col min="4094" max="4094" width="13.285714285714286" customWidth="1"/>
    <col min="4105" max="4105" width="13.428571428571429" customWidth="1"/>
    <col min="4106" max="4106" width="13.142857142857142" customWidth="1"/>
    <col min="4107" max="4107" width="14" customWidth="1"/>
    <col min="4115" max="4115" width="13.714285714285714" customWidth="1"/>
    <col min="4119" max="4119" width="13.571428571428571" customWidth="1"/>
    <col min="4346" max="4346" width="3.4285714285714284" bestFit="1" customWidth="1"/>
    <col min="4347" max="4347" width="14.857142857142858" customWidth="1"/>
    <col min="4350" max="4350" width="13.285714285714286" customWidth="1"/>
    <col min="4361" max="4361" width="13.428571428571429" customWidth="1"/>
    <col min="4362" max="4362" width="13.142857142857142" customWidth="1"/>
    <col min="4363" max="4363" width="14" customWidth="1"/>
    <col min="4371" max="4371" width="13.714285714285714" customWidth="1"/>
    <col min="4375" max="4375" width="13.571428571428571" customWidth="1"/>
    <col min="4602" max="4602" width="3.4285714285714284" bestFit="1" customWidth="1"/>
    <col min="4603" max="4603" width="14.857142857142858" customWidth="1"/>
    <col min="4606" max="4606" width="13.285714285714286" customWidth="1"/>
    <col min="4617" max="4617" width="13.428571428571429" customWidth="1"/>
    <col min="4618" max="4618" width="13.142857142857142" customWidth="1"/>
    <col min="4619" max="4619" width="14" customWidth="1"/>
    <col min="4627" max="4627" width="13.714285714285714" customWidth="1"/>
    <col min="4631" max="4631" width="13.571428571428571" customWidth="1"/>
    <col min="4858" max="4858" width="3.4285714285714284" bestFit="1" customWidth="1"/>
    <col min="4859" max="4859" width="14.857142857142858" customWidth="1"/>
    <col min="4862" max="4862" width="13.285714285714286" customWidth="1"/>
    <col min="4873" max="4873" width="13.428571428571429" customWidth="1"/>
    <col min="4874" max="4874" width="13.142857142857142" customWidth="1"/>
    <col min="4875" max="4875" width="14" customWidth="1"/>
    <col min="4883" max="4883" width="13.714285714285714" customWidth="1"/>
    <col min="4887" max="4887" width="13.571428571428571" customWidth="1"/>
    <col min="5114" max="5114" width="3.4285714285714284" bestFit="1" customWidth="1"/>
    <col min="5115" max="5115" width="14.857142857142858" customWidth="1"/>
    <col min="5118" max="5118" width="13.285714285714286" customWidth="1"/>
    <col min="5129" max="5129" width="13.428571428571429" customWidth="1"/>
    <col min="5130" max="5130" width="13.142857142857142" customWidth="1"/>
    <col min="5131" max="5131" width="14" customWidth="1"/>
    <col min="5139" max="5139" width="13.714285714285714" customWidth="1"/>
    <col min="5143" max="5143" width="13.571428571428571" customWidth="1"/>
    <col min="5370" max="5370" width="3.4285714285714284" bestFit="1" customWidth="1"/>
    <col min="5371" max="5371" width="14.857142857142858" customWidth="1"/>
    <col min="5374" max="5374" width="13.285714285714286" customWidth="1"/>
    <col min="5385" max="5385" width="13.428571428571429" customWidth="1"/>
    <col min="5386" max="5386" width="13.142857142857142" customWidth="1"/>
    <col min="5387" max="5387" width="14" customWidth="1"/>
    <col min="5395" max="5395" width="13.714285714285714" customWidth="1"/>
    <col min="5399" max="5399" width="13.571428571428571" customWidth="1"/>
    <col min="5626" max="5626" width="3.4285714285714284" bestFit="1" customWidth="1"/>
    <col min="5627" max="5627" width="14.857142857142858" customWidth="1"/>
    <col min="5630" max="5630" width="13.285714285714286" customWidth="1"/>
    <col min="5641" max="5641" width="13.428571428571429" customWidth="1"/>
    <col min="5642" max="5642" width="13.142857142857142" customWidth="1"/>
    <col min="5643" max="5643" width="14" customWidth="1"/>
    <col min="5651" max="5651" width="13.714285714285714" customWidth="1"/>
    <col min="5655" max="5655" width="13.571428571428571" customWidth="1"/>
    <col min="5882" max="5882" width="3.4285714285714284" bestFit="1" customWidth="1"/>
    <col min="5883" max="5883" width="14.857142857142858" customWidth="1"/>
    <col min="5886" max="5886" width="13.285714285714286" customWidth="1"/>
    <col min="5897" max="5897" width="13.428571428571429" customWidth="1"/>
    <col min="5898" max="5898" width="13.142857142857142" customWidth="1"/>
    <col min="5899" max="5899" width="14" customWidth="1"/>
    <col min="5907" max="5907" width="13.714285714285714" customWidth="1"/>
    <col min="5911" max="5911" width="13.571428571428571" customWidth="1"/>
    <col min="6138" max="6138" width="3.4285714285714284" bestFit="1" customWidth="1"/>
    <col min="6139" max="6139" width="14.857142857142858" customWidth="1"/>
    <col min="6142" max="6142" width="13.285714285714286" customWidth="1"/>
    <col min="6153" max="6153" width="13.428571428571429" customWidth="1"/>
    <col min="6154" max="6154" width="13.142857142857142" customWidth="1"/>
    <col min="6155" max="6155" width="14" customWidth="1"/>
    <col min="6163" max="6163" width="13.714285714285714" customWidth="1"/>
    <col min="6167" max="6167" width="13.571428571428571" customWidth="1"/>
    <col min="6394" max="6394" width="3.4285714285714284" bestFit="1" customWidth="1"/>
    <col min="6395" max="6395" width="14.857142857142858" customWidth="1"/>
    <col min="6398" max="6398" width="13.285714285714286" customWidth="1"/>
    <col min="6409" max="6409" width="13.428571428571429" customWidth="1"/>
    <col min="6410" max="6410" width="13.142857142857142" customWidth="1"/>
    <col min="6411" max="6411" width="14" customWidth="1"/>
    <col min="6419" max="6419" width="13.714285714285714" customWidth="1"/>
    <col min="6423" max="6423" width="13.571428571428571" customWidth="1"/>
    <col min="6650" max="6650" width="3.4285714285714284" bestFit="1" customWidth="1"/>
    <col min="6651" max="6651" width="14.857142857142858" customWidth="1"/>
    <col min="6654" max="6654" width="13.285714285714286" customWidth="1"/>
    <col min="6665" max="6665" width="13.428571428571429" customWidth="1"/>
    <col min="6666" max="6666" width="13.142857142857142" customWidth="1"/>
    <col min="6667" max="6667" width="14" customWidth="1"/>
    <col min="6675" max="6675" width="13.714285714285714" customWidth="1"/>
    <col min="6679" max="6679" width="13.571428571428571" customWidth="1"/>
    <col min="6906" max="6906" width="3.4285714285714284" bestFit="1" customWidth="1"/>
    <col min="6907" max="6907" width="14.857142857142858" customWidth="1"/>
    <col min="6910" max="6910" width="13.285714285714286" customWidth="1"/>
    <col min="6921" max="6921" width="13.428571428571429" customWidth="1"/>
    <col min="6922" max="6922" width="13.142857142857142" customWidth="1"/>
    <col min="6923" max="6923" width="14" customWidth="1"/>
    <col min="6931" max="6931" width="13.714285714285714" customWidth="1"/>
    <col min="6935" max="6935" width="13.571428571428571" customWidth="1"/>
    <col min="7162" max="7162" width="3.4285714285714284" bestFit="1" customWidth="1"/>
    <col min="7163" max="7163" width="14.857142857142858" customWidth="1"/>
    <col min="7166" max="7166" width="13.285714285714286" customWidth="1"/>
    <col min="7177" max="7177" width="13.428571428571429" customWidth="1"/>
    <col min="7178" max="7178" width="13.142857142857142" customWidth="1"/>
    <col min="7179" max="7179" width="14" customWidth="1"/>
    <col min="7187" max="7187" width="13.714285714285714" customWidth="1"/>
    <col min="7191" max="7191" width="13.571428571428571" customWidth="1"/>
    <col min="7418" max="7418" width="3.4285714285714284" bestFit="1" customWidth="1"/>
    <col min="7419" max="7419" width="14.857142857142858" customWidth="1"/>
    <col min="7422" max="7422" width="13.285714285714286" customWidth="1"/>
    <col min="7433" max="7433" width="13.428571428571429" customWidth="1"/>
    <col min="7434" max="7434" width="13.142857142857142" customWidth="1"/>
    <col min="7435" max="7435" width="14" customWidth="1"/>
    <col min="7443" max="7443" width="13.714285714285714" customWidth="1"/>
    <col min="7447" max="7447" width="13.571428571428571" customWidth="1"/>
    <col min="7674" max="7674" width="3.4285714285714284" bestFit="1" customWidth="1"/>
    <col min="7675" max="7675" width="14.857142857142858" customWidth="1"/>
    <col min="7678" max="7678" width="13.285714285714286" customWidth="1"/>
    <col min="7689" max="7689" width="13.428571428571429" customWidth="1"/>
    <col min="7690" max="7690" width="13.142857142857142" customWidth="1"/>
    <col min="7691" max="7691" width="14" customWidth="1"/>
    <col min="7699" max="7699" width="13.714285714285714" customWidth="1"/>
    <col min="7703" max="7703" width="13.571428571428571" customWidth="1"/>
    <col min="7930" max="7930" width="3.4285714285714284" bestFit="1" customWidth="1"/>
    <col min="7931" max="7931" width="14.857142857142858" customWidth="1"/>
    <col min="7934" max="7934" width="13.285714285714286" customWidth="1"/>
    <col min="7945" max="7945" width="13.428571428571429" customWidth="1"/>
    <col min="7946" max="7946" width="13.142857142857142" customWidth="1"/>
    <col min="7947" max="7947" width="14" customWidth="1"/>
    <col min="7955" max="7955" width="13.714285714285714" customWidth="1"/>
    <col min="7959" max="7959" width="13.571428571428571" customWidth="1"/>
    <col min="8186" max="8186" width="3.4285714285714284" bestFit="1" customWidth="1"/>
    <col min="8187" max="8187" width="14.857142857142858" customWidth="1"/>
    <col min="8190" max="8190" width="13.285714285714286" customWidth="1"/>
    <col min="8201" max="8201" width="13.428571428571429" customWidth="1"/>
    <col min="8202" max="8202" width="13.142857142857142" customWidth="1"/>
    <col min="8203" max="8203" width="14" customWidth="1"/>
    <col min="8211" max="8211" width="13.714285714285714" customWidth="1"/>
    <col min="8215" max="8215" width="13.571428571428571" customWidth="1"/>
    <col min="8442" max="8442" width="3.4285714285714284" bestFit="1" customWidth="1"/>
    <col min="8443" max="8443" width="14.857142857142858" customWidth="1"/>
    <col min="8446" max="8446" width="13.285714285714286" customWidth="1"/>
    <col min="8457" max="8457" width="13.428571428571429" customWidth="1"/>
    <col min="8458" max="8458" width="13.142857142857142" customWidth="1"/>
    <col min="8459" max="8459" width="14" customWidth="1"/>
    <col min="8467" max="8467" width="13.714285714285714" customWidth="1"/>
    <col min="8471" max="8471" width="13.571428571428571" customWidth="1"/>
    <col min="8698" max="8698" width="3.4285714285714284" bestFit="1" customWidth="1"/>
    <col min="8699" max="8699" width="14.857142857142858" customWidth="1"/>
    <col min="8702" max="8702" width="13.285714285714286" customWidth="1"/>
    <col min="8713" max="8713" width="13.428571428571429" customWidth="1"/>
    <col min="8714" max="8714" width="13.142857142857142" customWidth="1"/>
    <col min="8715" max="8715" width="14" customWidth="1"/>
    <col min="8723" max="8723" width="13.714285714285714" customWidth="1"/>
    <col min="8727" max="8727" width="13.571428571428571" customWidth="1"/>
    <col min="8954" max="8954" width="3.4285714285714284" bestFit="1" customWidth="1"/>
    <col min="8955" max="8955" width="14.857142857142858" customWidth="1"/>
    <col min="8958" max="8958" width="13.285714285714286" customWidth="1"/>
    <col min="8969" max="8969" width="13.428571428571429" customWidth="1"/>
    <col min="8970" max="8970" width="13.142857142857142" customWidth="1"/>
    <col min="8971" max="8971" width="14" customWidth="1"/>
    <col min="8979" max="8979" width="13.714285714285714" customWidth="1"/>
    <col min="8983" max="8983" width="13.571428571428571" customWidth="1"/>
    <col min="9210" max="9210" width="3.4285714285714284" bestFit="1" customWidth="1"/>
    <col min="9211" max="9211" width="14.857142857142858" customWidth="1"/>
    <col min="9214" max="9214" width="13.285714285714286" customWidth="1"/>
    <col min="9225" max="9225" width="13.428571428571429" customWidth="1"/>
    <col min="9226" max="9226" width="13.142857142857142" customWidth="1"/>
    <col min="9227" max="9227" width="14" customWidth="1"/>
    <col min="9235" max="9235" width="13.714285714285714" customWidth="1"/>
    <col min="9239" max="9239" width="13.571428571428571" customWidth="1"/>
    <col min="9466" max="9466" width="3.4285714285714284" bestFit="1" customWidth="1"/>
    <col min="9467" max="9467" width="14.857142857142858" customWidth="1"/>
    <col min="9470" max="9470" width="13.285714285714286" customWidth="1"/>
    <col min="9481" max="9481" width="13.428571428571429" customWidth="1"/>
    <col min="9482" max="9482" width="13.142857142857142" customWidth="1"/>
    <col min="9483" max="9483" width="14" customWidth="1"/>
    <col min="9491" max="9491" width="13.714285714285714" customWidth="1"/>
    <col min="9495" max="9495" width="13.571428571428571" customWidth="1"/>
    <col min="9722" max="9722" width="3.4285714285714284" bestFit="1" customWidth="1"/>
    <col min="9723" max="9723" width="14.857142857142858" customWidth="1"/>
    <col min="9726" max="9726" width="13.285714285714286" customWidth="1"/>
    <col min="9737" max="9737" width="13.428571428571429" customWidth="1"/>
    <col min="9738" max="9738" width="13.142857142857142" customWidth="1"/>
    <col min="9739" max="9739" width="14" customWidth="1"/>
    <col min="9747" max="9747" width="13.714285714285714" customWidth="1"/>
    <col min="9751" max="9751" width="13.571428571428571" customWidth="1"/>
    <col min="9978" max="9978" width="3.4285714285714284" bestFit="1" customWidth="1"/>
    <col min="9979" max="9979" width="14.857142857142858" customWidth="1"/>
    <col min="9982" max="9982" width="13.285714285714286" customWidth="1"/>
    <col min="9993" max="9993" width="13.428571428571429" customWidth="1"/>
    <col min="9994" max="9994" width="13.142857142857142" customWidth="1"/>
    <col min="9995" max="9995" width="14" customWidth="1"/>
    <col min="10003" max="10003" width="13.714285714285714" customWidth="1"/>
    <col min="10007" max="10007" width="13.571428571428571" customWidth="1"/>
    <col min="10234" max="10234" width="3.4285714285714284" bestFit="1" customWidth="1"/>
    <col min="10235" max="10235" width="14.857142857142858" customWidth="1"/>
    <col min="10238" max="10238" width="13.285714285714286" customWidth="1"/>
    <col min="10249" max="10249" width="13.428571428571429" customWidth="1"/>
    <col min="10250" max="10250" width="13.142857142857142" customWidth="1"/>
    <col min="10251" max="10251" width="14" customWidth="1"/>
    <col min="10259" max="10259" width="13.714285714285714" customWidth="1"/>
    <col min="10263" max="10263" width="13.571428571428571" customWidth="1"/>
    <col min="10490" max="10490" width="3.4285714285714284" bestFit="1" customWidth="1"/>
    <col min="10491" max="10491" width="14.857142857142858" customWidth="1"/>
    <col min="10494" max="10494" width="13.285714285714286" customWidth="1"/>
    <col min="10505" max="10505" width="13.428571428571429" customWidth="1"/>
    <col min="10506" max="10506" width="13.142857142857142" customWidth="1"/>
    <col min="10507" max="10507" width="14" customWidth="1"/>
    <col min="10515" max="10515" width="13.714285714285714" customWidth="1"/>
    <col min="10519" max="10519" width="13.571428571428571" customWidth="1"/>
    <col min="10746" max="10746" width="3.4285714285714284" bestFit="1" customWidth="1"/>
    <col min="10747" max="10747" width="14.857142857142858" customWidth="1"/>
    <col min="10750" max="10750" width="13.285714285714286" customWidth="1"/>
    <col min="10761" max="10761" width="13.428571428571429" customWidth="1"/>
    <col min="10762" max="10762" width="13.142857142857142" customWidth="1"/>
    <col min="10763" max="10763" width="14" customWidth="1"/>
    <col min="10771" max="10771" width="13.714285714285714" customWidth="1"/>
    <col min="10775" max="10775" width="13.571428571428571" customWidth="1"/>
    <col min="11002" max="11002" width="3.4285714285714284" bestFit="1" customWidth="1"/>
    <col min="11003" max="11003" width="14.857142857142858" customWidth="1"/>
    <col min="11006" max="11006" width="13.285714285714286" customWidth="1"/>
    <col min="11017" max="11017" width="13.428571428571429" customWidth="1"/>
    <col min="11018" max="11018" width="13.142857142857142" customWidth="1"/>
    <col min="11019" max="11019" width="14" customWidth="1"/>
    <col min="11027" max="11027" width="13.714285714285714" customWidth="1"/>
    <col min="11031" max="11031" width="13.571428571428571" customWidth="1"/>
    <col min="11258" max="11258" width="3.4285714285714284" bestFit="1" customWidth="1"/>
    <col min="11259" max="11259" width="14.857142857142858" customWidth="1"/>
    <col min="11262" max="11262" width="13.285714285714286" customWidth="1"/>
    <col min="11273" max="11273" width="13.428571428571429" customWidth="1"/>
    <col min="11274" max="11274" width="13.142857142857142" customWidth="1"/>
    <col min="11275" max="11275" width="14" customWidth="1"/>
    <col min="11283" max="11283" width="13.714285714285714" customWidth="1"/>
    <col min="11287" max="11287" width="13.571428571428571" customWidth="1"/>
    <col min="11514" max="11514" width="3.4285714285714284" bestFit="1" customWidth="1"/>
    <col min="11515" max="11515" width="14.857142857142858" customWidth="1"/>
    <col min="11518" max="11518" width="13.285714285714286" customWidth="1"/>
    <col min="11529" max="11529" width="13.428571428571429" customWidth="1"/>
    <col min="11530" max="11530" width="13.142857142857142" customWidth="1"/>
    <col min="11531" max="11531" width="14" customWidth="1"/>
    <col min="11539" max="11539" width="13.714285714285714" customWidth="1"/>
    <col min="11543" max="11543" width="13.571428571428571" customWidth="1"/>
    <col min="11770" max="11770" width="3.4285714285714284" bestFit="1" customWidth="1"/>
    <col min="11771" max="11771" width="14.857142857142858" customWidth="1"/>
    <col min="11774" max="11774" width="13.285714285714286" customWidth="1"/>
    <col min="11785" max="11785" width="13.428571428571429" customWidth="1"/>
    <col min="11786" max="11786" width="13.142857142857142" customWidth="1"/>
    <col min="11787" max="11787" width="14" customWidth="1"/>
    <col min="11795" max="11795" width="13.714285714285714" customWidth="1"/>
    <col min="11799" max="11799" width="13.571428571428571" customWidth="1"/>
    <col min="12026" max="12026" width="3.4285714285714284" bestFit="1" customWidth="1"/>
    <col min="12027" max="12027" width="14.857142857142858" customWidth="1"/>
    <col min="12030" max="12030" width="13.285714285714286" customWidth="1"/>
    <col min="12041" max="12041" width="13.428571428571429" customWidth="1"/>
    <col min="12042" max="12042" width="13.142857142857142" customWidth="1"/>
    <col min="12043" max="12043" width="14" customWidth="1"/>
    <col min="12051" max="12051" width="13.714285714285714" customWidth="1"/>
    <col min="12055" max="12055" width="13.571428571428571" customWidth="1"/>
    <col min="12282" max="12282" width="3.4285714285714284" bestFit="1" customWidth="1"/>
    <col min="12283" max="12283" width="14.857142857142858" customWidth="1"/>
    <col min="12286" max="12286" width="13.285714285714286" customWidth="1"/>
    <col min="12297" max="12297" width="13.428571428571429" customWidth="1"/>
    <col min="12298" max="12298" width="13.142857142857142" customWidth="1"/>
    <col min="12299" max="12299" width="14" customWidth="1"/>
    <col min="12307" max="12307" width="13.714285714285714" customWidth="1"/>
    <col min="12311" max="12311" width="13.571428571428571" customWidth="1"/>
    <col min="12538" max="12538" width="3.4285714285714284" bestFit="1" customWidth="1"/>
    <col min="12539" max="12539" width="14.857142857142858" customWidth="1"/>
    <col min="12542" max="12542" width="13.285714285714286" customWidth="1"/>
    <col min="12553" max="12553" width="13.428571428571429" customWidth="1"/>
    <col min="12554" max="12554" width="13.142857142857142" customWidth="1"/>
    <col min="12555" max="12555" width="14" customWidth="1"/>
    <col min="12563" max="12563" width="13.714285714285714" customWidth="1"/>
    <col min="12567" max="12567" width="13.571428571428571" customWidth="1"/>
    <col min="12794" max="12794" width="3.4285714285714284" bestFit="1" customWidth="1"/>
    <col min="12795" max="12795" width="14.857142857142858" customWidth="1"/>
    <col min="12798" max="12798" width="13.285714285714286" customWidth="1"/>
    <col min="12809" max="12809" width="13.428571428571429" customWidth="1"/>
    <col min="12810" max="12810" width="13.142857142857142" customWidth="1"/>
    <col min="12811" max="12811" width="14" customWidth="1"/>
    <col min="12819" max="12819" width="13.714285714285714" customWidth="1"/>
    <col min="12823" max="12823" width="13.571428571428571" customWidth="1"/>
    <col min="13050" max="13050" width="3.4285714285714284" bestFit="1" customWidth="1"/>
    <col min="13051" max="13051" width="14.857142857142858" customWidth="1"/>
    <col min="13054" max="13054" width="13.285714285714286" customWidth="1"/>
    <col min="13065" max="13065" width="13.428571428571429" customWidth="1"/>
    <col min="13066" max="13066" width="13.142857142857142" customWidth="1"/>
    <col min="13067" max="13067" width="14" customWidth="1"/>
    <col min="13075" max="13075" width="13.714285714285714" customWidth="1"/>
    <col min="13079" max="13079" width="13.571428571428571" customWidth="1"/>
    <col min="13306" max="13306" width="3.4285714285714284" bestFit="1" customWidth="1"/>
    <col min="13307" max="13307" width="14.857142857142858" customWidth="1"/>
    <col min="13310" max="13310" width="13.285714285714286" customWidth="1"/>
    <col min="13321" max="13321" width="13.428571428571429" customWidth="1"/>
    <col min="13322" max="13322" width="13.142857142857142" customWidth="1"/>
    <col min="13323" max="13323" width="14" customWidth="1"/>
    <col min="13331" max="13331" width="13.714285714285714" customWidth="1"/>
    <col min="13335" max="13335" width="13.571428571428571" customWidth="1"/>
    <col min="13562" max="13562" width="3.4285714285714284" bestFit="1" customWidth="1"/>
    <col min="13563" max="13563" width="14.857142857142858" customWidth="1"/>
    <col min="13566" max="13566" width="13.285714285714286" customWidth="1"/>
    <col min="13577" max="13577" width="13.428571428571429" customWidth="1"/>
    <col min="13578" max="13578" width="13.142857142857142" customWidth="1"/>
    <col min="13579" max="13579" width="14" customWidth="1"/>
    <col min="13587" max="13587" width="13.714285714285714" customWidth="1"/>
    <col min="13591" max="13591" width="13.571428571428571" customWidth="1"/>
    <col min="13818" max="13818" width="3.4285714285714284" bestFit="1" customWidth="1"/>
    <col min="13819" max="13819" width="14.857142857142858" customWidth="1"/>
    <col min="13822" max="13822" width="13.285714285714286" customWidth="1"/>
    <col min="13833" max="13833" width="13.428571428571429" customWidth="1"/>
    <col min="13834" max="13834" width="13.142857142857142" customWidth="1"/>
    <col min="13835" max="13835" width="14" customWidth="1"/>
    <col min="13843" max="13843" width="13.714285714285714" customWidth="1"/>
    <col min="13847" max="13847" width="13.571428571428571" customWidth="1"/>
    <col min="14074" max="14074" width="3.4285714285714284" bestFit="1" customWidth="1"/>
    <col min="14075" max="14075" width="14.857142857142858" customWidth="1"/>
    <col min="14078" max="14078" width="13.285714285714286" customWidth="1"/>
    <col min="14089" max="14089" width="13.428571428571429" customWidth="1"/>
    <col min="14090" max="14090" width="13.142857142857142" customWidth="1"/>
    <col min="14091" max="14091" width="14" customWidth="1"/>
    <col min="14099" max="14099" width="13.714285714285714" customWidth="1"/>
    <col min="14103" max="14103" width="13.571428571428571" customWidth="1"/>
    <col min="14330" max="14330" width="3.4285714285714284" bestFit="1" customWidth="1"/>
    <col min="14331" max="14331" width="14.857142857142858" customWidth="1"/>
    <col min="14334" max="14334" width="13.285714285714286" customWidth="1"/>
    <col min="14345" max="14345" width="13.428571428571429" customWidth="1"/>
    <col min="14346" max="14346" width="13.142857142857142" customWidth="1"/>
    <col min="14347" max="14347" width="14" customWidth="1"/>
    <col min="14355" max="14355" width="13.714285714285714" customWidth="1"/>
    <col min="14359" max="14359" width="13.571428571428571" customWidth="1"/>
    <col min="14586" max="14586" width="3.4285714285714284" bestFit="1" customWidth="1"/>
    <col min="14587" max="14587" width="14.857142857142858" customWidth="1"/>
    <col min="14590" max="14590" width="13.285714285714286" customWidth="1"/>
    <col min="14601" max="14601" width="13.428571428571429" customWidth="1"/>
    <col min="14602" max="14602" width="13.142857142857142" customWidth="1"/>
    <col min="14603" max="14603" width="14" customWidth="1"/>
    <col min="14611" max="14611" width="13.714285714285714" customWidth="1"/>
    <col min="14615" max="14615" width="13.571428571428571" customWidth="1"/>
    <col min="14842" max="14842" width="3.4285714285714284" bestFit="1" customWidth="1"/>
    <col min="14843" max="14843" width="14.857142857142858" customWidth="1"/>
    <col min="14846" max="14846" width="13.285714285714286" customWidth="1"/>
    <col min="14857" max="14857" width="13.428571428571429" customWidth="1"/>
    <col min="14858" max="14858" width="13.142857142857142" customWidth="1"/>
    <col min="14859" max="14859" width="14" customWidth="1"/>
    <col min="14867" max="14867" width="13.714285714285714" customWidth="1"/>
    <col min="14871" max="14871" width="13.571428571428571" customWidth="1"/>
    <col min="15098" max="15098" width="3.4285714285714284" bestFit="1" customWidth="1"/>
    <col min="15099" max="15099" width="14.857142857142858" customWidth="1"/>
    <col min="15102" max="15102" width="13.285714285714286" customWidth="1"/>
    <col min="15113" max="15113" width="13.428571428571429" customWidth="1"/>
    <col min="15114" max="15114" width="13.142857142857142" customWidth="1"/>
    <col min="15115" max="15115" width="14" customWidth="1"/>
    <col min="15123" max="15123" width="13.714285714285714" customWidth="1"/>
    <col min="15127" max="15127" width="13.571428571428571" customWidth="1"/>
    <col min="15354" max="15354" width="3.4285714285714284" bestFit="1" customWidth="1"/>
    <col min="15355" max="15355" width="14.857142857142858" customWidth="1"/>
    <col min="15358" max="15358" width="13.285714285714286" customWidth="1"/>
    <col min="15369" max="15369" width="13.428571428571429" customWidth="1"/>
    <col min="15370" max="15370" width="13.142857142857142" customWidth="1"/>
    <col min="15371" max="15371" width="14" customWidth="1"/>
    <col min="15379" max="15379" width="13.714285714285714" customWidth="1"/>
    <col min="15383" max="15383" width="13.571428571428571" customWidth="1"/>
    <col min="15610" max="15610" width="3.4285714285714284" bestFit="1" customWidth="1"/>
    <col min="15611" max="15611" width="14.857142857142858" customWidth="1"/>
    <col min="15614" max="15614" width="13.285714285714286" customWidth="1"/>
    <col min="15625" max="15625" width="13.428571428571429" customWidth="1"/>
    <col min="15626" max="15626" width="13.142857142857142" customWidth="1"/>
    <col min="15627" max="15627" width="14" customWidth="1"/>
    <col min="15635" max="15635" width="13.714285714285714" customWidth="1"/>
    <col min="15639" max="15639" width="13.571428571428571" customWidth="1"/>
    <col min="15866" max="15866" width="3.4285714285714284" bestFit="1" customWidth="1"/>
    <col min="15867" max="15867" width="14.857142857142858" customWidth="1"/>
    <col min="15870" max="15870" width="13.285714285714286" customWidth="1"/>
    <col min="15881" max="15881" width="13.428571428571429" customWidth="1"/>
    <col min="15882" max="15882" width="13.142857142857142" customWidth="1"/>
    <col min="15883" max="15883" width="14" customWidth="1"/>
    <col min="15891" max="15891" width="13.714285714285714" customWidth="1"/>
    <col min="15895" max="15895" width="13.571428571428571" customWidth="1"/>
    <col min="16122" max="16122" width="3.4285714285714284" bestFit="1" customWidth="1"/>
    <col min="16123" max="16123" width="14.857142857142858" customWidth="1"/>
    <col min="16126" max="16126" width="13.285714285714286" customWidth="1"/>
    <col min="16137" max="16137" width="13.428571428571429" customWidth="1"/>
    <col min="16138" max="16138" width="13.142857142857142" customWidth="1"/>
    <col min="16139" max="16139" width="14" customWidth="1"/>
    <col min="16147" max="16147" width="13.714285714285714" customWidth="1"/>
    <col min="16151" max="16151" width="13.571428571428571" customWidth="1"/>
  </cols>
  <sheetData>
    <row r="1" spans="4:30" ht="30.75" customHeight="1">
      <c r="D1" s="89" t="s">
        <v>234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</row>
    <row r="3" spans="4:30" s="6" customFormat="1" ht="25.5">
      <c r="D3" s="90" t="s">
        <v>19</v>
      </c>
      <c r="E3" s="91"/>
      <c r="F3" s="92"/>
      <c r="G3" s="93" t="s">
        <v>215</v>
      </c>
      <c r="H3" s="94"/>
      <c r="I3" s="94"/>
      <c r="J3" s="94"/>
      <c r="K3" s="95"/>
      <c r="L3" s="93" t="s">
        <v>217</v>
      </c>
      <c r="M3" s="94"/>
      <c r="N3" s="94"/>
      <c r="O3" s="94"/>
      <c r="P3" s="95"/>
      <c r="Q3" s="93" t="s">
        <v>226</v>
      </c>
      <c r="R3" s="94"/>
      <c r="S3" s="94"/>
      <c r="T3" s="94"/>
      <c r="U3" s="95"/>
      <c r="V3" s="90" t="s">
        <v>18</v>
      </c>
      <c r="W3" s="92"/>
      <c r="X3" s="44" t="s">
        <v>229</v>
      </c>
      <c r="Y3" s="90" t="s">
        <v>17</v>
      </c>
      <c r="Z3" s="91"/>
      <c r="AA3" s="91"/>
      <c r="AB3" s="92"/>
      <c r="AC3" s="46" t="s">
        <v>16</v>
      </c>
      <c r="AD3" s="96" t="s">
        <v>15</v>
      </c>
    </row>
    <row r="4" spans="2:30" s="18" customFormat="1" ht="60" customHeight="1">
      <c r="B4" s="43" t="s">
        <v>14</v>
      </c>
      <c r="C4" s="54" t="s">
        <v>13</v>
      </c>
      <c r="D4" s="43" t="s">
        <v>12</v>
      </c>
      <c r="E4" s="43" t="s">
        <v>11</v>
      </c>
      <c r="F4" s="45" t="s">
        <v>10</v>
      </c>
      <c r="G4" s="43" t="s">
        <v>9</v>
      </c>
      <c r="H4" s="43" t="s">
        <v>8</v>
      </c>
      <c r="I4" s="43" t="s">
        <v>216</v>
      </c>
      <c r="J4" s="43" t="s">
        <v>7</v>
      </c>
      <c r="K4" s="45" t="s">
        <v>218</v>
      </c>
      <c r="L4" s="43" t="s">
        <v>9</v>
      </c>
      <c r="M4" s="43" t="s">
        <v>8</v>
      </c>
      <c r="N4" s="43" t="s">
        <v>220</v>
      </c>
      <c r="O4" s="43" t="s">
        <v>7</v>
      </c>
      <c r="P4" s="45" t="s">
        <v>225</v>
      </c>
      <c r="Q4" s="43" t="s">
        <v>9</v>
      </c>
      <c r="R4" s="43" t="s">
        <v>8</v>
      </c>
      <c r="S4" s="43" t="s">
        <v>227</v>
      </c>
      <c r="T4" s="43" t="s">
        <v>7</v>
      </c>
      <c r="U4" s="45" t="s">
        <v>228</v>
      </c>
      <c r="V4" s="44" t="s">
        <v>231</v>
      </c>
      <c r="W4" s="44" t="s">
        <v>6</v>
      </c>
      <c r="X4" s="45" t="s">
        <v>230</v>
      </c>
      <c r="Y4" s="43" t="s">
        <v>5</v>
      </c>
      <c r="Z4" s="43" t="s">
        <v>214</v>
      </c>
      <c r="AA4" s="43" t="s">
        <v>4</v>
      </c>
      <c r="AB4" s="44" t="s">
        <v>3</v>
      </c>
      <c r="AC4" s="44" t="s">
        <v>2</v>
      </c>
      <c r="AD4" s="97"/>
    </row>
    <row r="5" spans="1:31" s="18" customFormat="1" ht="16.15" customHeight="1">
      <c r="A5" s="18" t="s">
        <v>342</v>
      </c>
      <c r="B5" s="41">
        <v>1</v>
      </c>
      <c r="C5" s="31" t="s">
        <v>237</v>
      </c>
      <c r="D5" s="23">
        <v>6550</v>
      </c>
      <c r="E5" s="40">
        <f t="shared" si="0" ref="E5:E36">D5/$D$112</f>
        <v>0.0028221834824279225</v>
      </c>
      <c r="F5" s="40">
        <f t="shared" si="1" ref="F5:F36">E5*0.64</f>
        <v>0.0018061974287538704</v>
      </c>
      <c r="G5" s="39">
        <v>0</v>
      </c>
      <c r="H5" s="39">
        <v>0</v>
      </c>
      <c r="I5" s="38">
        <f t="shared" si="2" ref="I5:I68">G5+H5</f>
        <v>0</v>
      </c>
      <c r="J5" s="53">
        <f>I5/$I$112</f>
        <v>0</v>
      </c>
      <c r="K5" s="53">
        <f t="shared" si="3" ref="K5:K68">J5*0.33</f>
        <v>0</v>
      </c>
      <c r="L5" s="39">
        <v>24181.74</v>
      </c>
      <c r="M5" s="39">
        <v>0</v>
      </c>
      <c r="N5" s="38">
        <f t="shared" si="4" ref="N5:N68">L5+M5</f>
        <v>24181.74</v>
      </c>
      <c r="O5" s="34">
        <f>N5/$N$112</f>
        <v>1.4853485943764347E-5</v>
      </c>
      <c r="P5" s="51">
        <f>O5*0.33</f>
        <v>4.901650361442235E-6</v>
      </c>
      <c r="Q5" s="39">
        <v>26127.98</v>
      </c>
      <c r="R5" s="39">
        <v>0</v>
      </c>
      <c r="S5" s="38">
        <f t="shared" si="5" ref="S5:S36">Q5+R5</f>
        <v>26127.98</v>
      </c>
      <c r="T5" s="36">
        <f t="shared" si="6" ref="T5:T36">S5/$S$112</f>
        <v>1.3569403578356518E-5</v>
      </c>
      <c r="U5" s="36">
        <f t="shared" si="7" ref="U5:U36">T5*0.34</f>
        <v>4.613597216641216E-6</v>
      </c>
      <c r="V5" s="36">
        <f>K5+P5+U5</f>
        <v>9.515247578083451E-6</v>
      </c>
      <c r="W5" s="37">
        <f t="shared" si="8" ref="W5:W36">V5*0.045</f>
        <v>4.281861410137553E-7</v>
      </c>
      <c r="X5" s="36">
        <f>T5*0.02</f>
        <v>2.7138807156713037E-7</v>
      </c>
      <c r="Y5" s="37">
        <v>52.0644029722264</v>
      </c>
      <c r="Z5" s="74">
        <f>D5*(9.261-0.1456*Y5)</f>
        <v>11006.770173447123</v>
      </c>
      <c r="AA5" s="35">
        <f>Z5/$Z$112</f>
        <v>0.004766500592661435</v>
      </c>
      <c r="AB5" s="35">
        <f>AA5*0.025</f>
        <v>1.1916251481653587E-4</v>
      </c>
      <c r="AC5" s="35">
        <f>0.27/106</f>
        <v>0.0025471698113207547</v>
      </c>
      <c r="AD5" s="81">
        <f>F5+W5+X5+AB5+AC5</f>
        <v>0.004473229329103742</v>
      </c>
      <c r="AE5" s="88"/>
    </row>
    <row r="6" spans="1:31" s="18" customFormat="1" ht="16.15" customHeight="1">
      <c r="A6" s="18" t="s">
        <v>238</v>
      </c>
      <c r="B6" s="41">
        <v>2</v>
      </c>
      <c r="C6" s="31" t="s">
        <v>238</v>
      </c>
      <c r="D6" s="23">
        <v>16772</v>
      </c>
      <c r="E6" s="40">
        <f t="shared" si="0"/>
        <v>0.007226513185844444</v>
      </c>
      <c r="F6" s="40">
        <f t="shared" si="1"/>
        <v>0.004624968438940445</v>
      </c>
      <c r="G6" s="39">
        <v>49449</v>
      </c>
      <c r="H6" s="39">
        <v>46723</v>
      </c>
      <c r="I6" s="38">
        <f>G6+H6</f>
        <v>96172</v>
      </c>
      <c r="J6" s="53">
        <f>I6/$I$112</f>
        <v>7.682804011524521E-5</v>
      </c>
      <c r="K6" s="53">
        <f>J6*0.33</f>
        <v>2.535325323803092E-5</v>
      </c>
      <c r="L6" s="39">
        <v>180199</v>
      </c>
      <c r="M6" s="39">
        <v>42269</v>
      </c>
      <c r="N6" s="38">
        <f>L6+M6</f>
        <v>222468</v>
      </c>
      <c r="O6" s="34">
        <f>N6/$N$112</f>
        <v>1.3664960879313756E-4</v>
      </c>
      <c r="P6" s="51">
        <f t="shared" si="9" ref="P6:P69">O6*0.33</f>
        <v>4.5094370901735397E-5</v>
      </c>
      <c r="Q6" s="39">
        <v>314978</v>
      </c>
      <c r="R6" s="39">
        <v>73437</v>
      </c>
      <c r="S6" s="38">
        <f t="shared" si="5"/>
        <v>388415</v>
      </c>
      <c r="T6" s="36">
        <f>S6/$S$112</f>
        <v>2.0172090957231852E-4</v>
      </c>
      <c r="U6" s="36">
        <f>T6*0.34</f>
        <v>6.85851092545883E-5</v>
      </c>
      <c r="V6" s="36">
        <f t="shared" si="10" ref="V6:V36">K6+P6+U6</f>
        <v>1.390327333943546E-4</v>
      </c>
      <c r="W6" s="37">
        <f t="shared" si="8"/>
        <v>6.256473002745958E-6</v>
      </c>
      <c r="X6" s="36">
        <f>T6*0.02</f>
        <v>4.034418191446371E-6</v>
      </c>
      <c r="Y6" s="37">
        <v>55.083317191263</v>
      </c>
      <c r="Z6" s="74">
        <f t="shared" si="11" ref="Z6:Z69">D6*(9.261-0.1456*Y6)</f>
        <v>20811.855152320713</v>
      </c>
      <c r="AA6" s="35">
        <f t="shared" si="12" ref="AA6:AA69">Z6/$Z$112</f>
        <v>0.009012609362665836</v>
      </c>
      <c r="AB6" s="35">
        <f t="shared" si="13" ref="AB6:AB36">AA6*0.025</f>
        <v>2.2531523406664591E-4</v>
      </c>
      <c r="AC6" s="35">
        <f t="shared" si="14" ref="AC6:AC36">0.27/106</f>
        <v>0.0025471698113207547</v>
      </c>
      <c r="AD6" s="81">
        <f t="shared" si="15" ref="AD6:AD36">F6+W6+X6+AB6+AC6</f>
        <v>0.007407744375522038</v>
      </c>
      <c r="AE6" s="88"/>
    </row>
    <row r="7" spans="1:31" s="18" customFormat="1" ht="16.15" customHeight="1">
      <c r="A7" s="18" t="s">
        <v>239</v>
      </c>
      <c r="B7" s="41">
        <v>3</v>
      </c>
      <c r="C7" s="31" t="s">
        <v>239</v>
      </c>
      <c r="D7" s="23">
        <v>12285</v>
      </c>
      <c r="E7" s="40">
        <f t="shared" si="0"/>
        <v>0.005293209783454508</v>
      </c>
      <c r="F7" s="40">
        <f t="shared" si="1"/>
        <v>0.003387654261410885</v>
      </c>
      <c r="G7" s="39">
        <v>98578.51</v>
      </c>
      <c r="H7" s="39">
        <v>234962.51</v>
      </c>
      <c r="I7" s="38">
        <f t="shared" si="2"/>
        <v>333541.02</v>
      </c>
      <c r="J7" s="53">
        <f t="shared" si="16" ref="J7:J70">I7/$I$112</f>
        <v>2.6645284349540203E-4</v>
      </c>
      <c r="K7" s="53">
        <f t="shared" si="3"/>
        <v>8.792943835348267E-5</v>
      </c>
      <c r="L7" s="39">
        <v>116028.14</v>
      </c>
      <c r="M7" s="39">
        <v>548290.13</v>
      </c>
      <c r="N7" s="38">
        <f t="shared" si="4"/>
        <v>664318.27</v>
      </c>
      <c r="O7" s="34">
        <f t="shared" si="17" ref="O7:O69">N7/$N$112</f>
        <v>4.0805343559358623E-4</v>
      </c>
      <c r="P7" s="51">
        <f t="shared" si="9"/>
        <v>1.3465763374588346E-4</v>
      </c>
      <c r="Q7" s="39">
        <v>162459.04</v>
      </c>
      <c r="R7" s="39">
        <v>349985.55</v>
      </c>
      <c r="S7" s="38">
        <f t="shared" si="5"/>
        <v>512444.58999999997</v>
      </c>
      <c r="T7" s="36">
        <f t="shared" si="6"/>
        <v>2.6613490416233627E-4</v>
      </c>
      <c r="U7" s="36">
        <f t="shared" si="7"/>
        <v>9.048586741519433E-5</v>
      </c>
      <c r="V7" s="36">
        <f t="shared" si="10"/>
        <v>3.1307293951456046E-4</v>
      </c>
      <c r="W7" s="37">
        <f t="shared" si="8"/>
        <v>1.408828227815522E-5</v>
      </c>
      <c r="X7" s="36">
        <f t="shared" si="18" ref="X7:X36">T7*0.02</f>
        <v>5.322698083246725E-6</v>
      </c>
      <c r="Y7" s="37">
        <v>53.8228606441541</v>
      </c>
      <c r="Z7" s="74">
        <f t="shared" si="11"/>
        <v>17498.64945724413</v>
      </c>
      <c r="AA7" s="35">
        <f>Z7/$Z$112</f>
        <v>0.007577819986642563</v>
      </c>
      <c r="AB7" s="35">
        <f>AA7*0.025</f>
        <v>1.8944549966606409E-4</v>
      </c>
      <c r="AC7" s="35">
        <f>0.27/106</f>
        <v>0.0025471698113207547</v>
      </c>
      <c r="AD7" s="81">
        <f>F7+W7+X7+AB7+AC7</f>
        <v>0.006143680552759106</v>
      </c>
      <c r="AE7" s="88"/>
    </row>
    <row r="8" spans="1:31" s="6" customFormat="1" ht="16.15" customHeight="1">
      <c r="A8" s="18" t="s">
        <v>240</v>
      </c>
      <c r="B8" s="32">
        <v>4</v>
      </c>
      <c r="C8" s="33" t="s">
        <v>240</v>
      </c>
      <c r="D8" s="23">
        <v>6195</v>
      </c>
      <c r="E8" s="30">
        <f t="shared" si="0"/>
        <v>0.0026692254463574015</v>
      </c>
      <c r="F8" s="30">
        <f t="shared" si="1"/>
        <v>0.001708304285668737</v>
      </c>
      <c r="G8" s="27">
        <v>270812.58</v>
      </c>
      <c r="H8" s="27">
        <v>650</v>
      </c>
      <c r="I8" s="26">
        <f t="shared" si="2"/>
        <v>271462.58</v>
      </c>
      <c r="J8" s="29">
        <f t="shared" si="16"/>
        <v>2.1686081173343552E-4</v>
      </c>
      <c r="K8" s="29">
        <f t="shared" si="3"/>
        <v>7.156406787203373E-5</v>
      </c>
      <c r="L8" s="27">
        <v>368139.32</v>
      </c>
      <c r="M8" s="27">
        <v>15880</v>
      </c>
      <c r="N8" s="26">
        <f t="shared" si="4"/>
        <v>384019.32</v>
      </c>
      <c r="O8" s="21">
        <f t="shared" si="17"/>
        <v>2.3588151935112787E-4</v>
      </c>
      <c r="P8" s="28">
        <f t="shared" si="9"/>
        <v>7.78409013858722E-5</v>
      </c>
      <c r="Q8" s="27">
        <v>435999.71</v>
      </c>
      <c r="R8" s="27">
        <v>14930</v>
      </c>
      <c r="S8" s="26">
        <f t="shared" si="5"/>
        <v>450929.71</v>
      </c>
      <c r="T8" s="24">
        <f t="shared" si="6"/>
        <v>2.3418753460701007E-4</v>
      </c>
      <c r="U8" s="24">
        <f t="shared" si="7"/>
        <v>7.962376176638343E-5</v>
      </c>
      <c r="V8" s="24">
        <f t="shared" si="10"/>
        <v>2.2902873102428938E-4</v>
      </c>
      <c r="W8" s="25">
        <f t="shared" si="8"/>
        <v>1.0306292896093022E-5</v>
      </c>
      <c r="X8" s="24">
        <f t="shared" si="18"/>
        <v>4.683750692140201E-6</v>
      </c>
      <c r="Y8" s="37">
        <v>55.0269348194927</v>
      </c>
      <c r="Z8" s="74">
        <f t="shared" si="11"/>
        <v>7738.040008296132</v>
      </c>
      <c r="AA8" s="22">
        <f t="shared" si="12"/>
        <v>0.0033509714207133477</v>
      </c>
      <c r="AB8" s="22">
        <f t="shared" si="13"/>
        <v>8.37742855178337E-5</v>
      </c>
      <c r="AC8" s="22">
        <f t="shared" si="14"/>
        <v>0.0025471698113207547</v>
      </c>
      <c r="AD8" s="80">
        <f t="shared" si="15"/>
        <v>0.004354238426095559</v>
      </c>
      <c r="AE8" s="72"/>
    </row>
    <row r="9" spans="1:31" s="6" customFormat="1" ht="16.15" customHeight="1">
      <c r="A9" s="18" t="s">
        <v>343</v>
      </c>
      <c r="B9" s="32">
        <v>5</v>
      </c>
      <c r="C9" s="33" t="s">
        <v>241</v>
      </c>
      <c r="D9" s="23">
        <v>2167</v>
      </c>
      <c r="E9" s="30">
        <f t="shared" si="0"/>
        <v>9.336903215910393E-4</v>
      </c>
      <c r="F9" s="30">
        <f t="shared" si="1"/>
        <v>5.975618058182652E-4</v>
      </c>
      <c r="G9" s="27">
        <v>0</v>
      </c>
      <c r="H9" s="27">
        <v>0</v>
      </c>
      <c r="I9" s="26">
        <f t="shared" si="2"/>
        <v>0</v>
      </c>
      <c r="J9" s="29">
        <f t="shared" si="16"/>
        <v>0</v>
      </c>
      <c r="K9" s="29">
        <f t="shared" si="3"/>
        <v>0</v>
      </c>
      <c r="L9" s="27">
        <v>26500</v>
      </c>
      <c r="M9" s="27">
        <v>0</v>
      </c>
      <c r="N9" s="26">
        <f t="shared" si="4"/>
        <v>26500</v>
      </c>
      <c r="O9" s="21">
        <f t="shared" si="17"/>
        <v>1.6277462974531823E-5</v>
      </c>
      <c r="P9" s="28">
        <f t="shared" si="9"/>
        <v>5.371562781595502E-6</v>
      </c>
      <c r="Q9" s="27">
        <v>0</v>
      </c>
      <c r="R9" s="27">
        <v>0</v>
      </c>
      <c r="S9" s="26">
        <f t="shared" si="5"/>
        <v>0</v>
      </c>
      <c r="T9" s="24">
        <f t="shared" si="6"/>
        <v>0</v>
      </c>
      <c r="U9" s="24">
        <f t="shared" si="7"/>
        <v>0</v>
      </c>
      <c r="V9" s="24">
        <f t="shared" si="10"/>
        <v>5.371562781595502E-6</v>
      </c>
      <c r="W9" s="25">
        <f t="shared" si="8"/>
        <v>2.417203251717976E-7</v>
      </c>
      <c r="X9" s="24">
        <f t="shared" si="18"/>
        <v>0</v>
      </c>
      <c r="Y9" s="37">
        <v>54.383083000654</v>
      </c>
      <c r="Z9" s="74">
        <f t="shared" si="11"/>
        <v>2909.8976904320507</v>
      </c>
      <c r="AA9" s="22">
        <f t="shared" si="12"/>
        <v>0.0012601361568799492</v>
      </c>
      <c r="AB9" s="22">
        <f t="shared" si="13"/>
        <v>3.150340392199873E-5</v>
      </c>
      <c r="AC9" s="22">
        <f t="shared" si="14"/>
        <v>0.0025471698113207547</v>
      </c>
      <c r="AD9" s="80">
        <f t="shared" si="15"/>
        <v>0.0031764767413861904</v>
      </c>
      <c r="AE9" s="72"/>
    </row>
    <row r="10" spans="1:31" s="6" customFormat="1" ht="16.15" customHeight="1">
      <c r="A10" s="18" t="s">
        <v>242</v>
      </c>
      <c r="B10" s="32">
        <v>6</v>
      </c>
      <c r="C10" s="31" t="s">
        <v>242</v>
      </c>
      <c r="D10" s="23">
        <v>9159</v>
      </c>
      <c r="E10" s="30">
        <f t="shared" si="0"/>
        <v>0.003946317330619441</v>
      </c>
      <c r="F10" s="30">
        <f t="shared" si="1"/>
        <v>0.0025256430915964424</v>
      </c>
      <c r="G10" s="27">
        <v>139023</v>
      </c>
      <c r="H10" s="27">
        <v>118617</v>
      </c>
      <c r="I10" s="26">
        <f t="shared" si="2"/>
        <v>257640</v>
      </c>
      <c r="J10" s="29">
        <f t="shared" si="16"/>
        <v>2.0581849452326847E-4</v>
      </c>
      <c r="K10" s="29">
        <f t="shared" si="3"/>
        <v>6.79201031926786E-5</v>
      </c>
      <c r="L10" s="27">
        <v>197058.40</v>
      </c>
      <c r="M10" s="27">
        <v>115936.25</v>
      </c>
      <c r="N10" s="26">
        <f t="shared" si="4"/>
        <v>312994.65</v>
      </c>
      <c r="O10" s="21">
        <f t="shared" si="17"/>
        <v>1.9225505006043576E-4</v>
      </c>
      <c r="P10" s="28">
        <f t="shared" si="9"/>
        <v>6.34441665199438E-5</v>
      </c>
      <c r="Q10" s="27">
        <v>250670.80</v>
      </c>
      <c r="R10" s="27">
        <v>80768</v>
      </c>
      <c r="S10" s="26">
        <f t="shared" si="5"/>
        <v>331438.80</v>
      </c>
      <c r="T10" s="24">
        <f t="shared" si="6"/>
        <v>1.721306751890575E-4</v>
      </c>
      <c r="U10" s="24">
        <f t="shared" si="7"/>
        <v>5.852442956427955E-5</v>
      </c>
      <c r="V10" s="24">
        <f t="shared" si="10"/>
        <v>1.8988869927690196E-4</v>
      </c>
      <c r="W10" s="25">
        <f t="shared" si="8"/>
        <v>8.544991467460588E-6</v>
      </c>
      <c r="X10" s="24">
        <f t="shared" si="18"/>
        <v>3.4426135037811497E-6</v>
      </c>
      <c r="Y10" s="37">
        <v>54.1461302464</v>
      </c>
      <c r="Z10" s="74">
        <f t="shared" si="11"/>
        <v>12614.90535146117</v>
      </c>
      <c r="AA10" s="22">
        <f t="shared" si="12"/>
        <v>0.005462906273737181</v>
      </c>
      <c r="AB10" s="22">
        <f t="shared" si="13"/>
        <v>1.3657265684342953E-4</v>
      </c>
      <c r="AC10" s="22">
        <f t="shared" si="14"/>
        <v>0.0025471698113207547</v>
      </c>
      <c r="AD10" s="80">
        <f t="shared" si="15"/>
        <v>0.005221373164731868</v>
      </c>
      <c r="AE10" s="72"/>
    </row>
    <row r="11" spans="1:31" s="6" customFormat="1" ht="16.15" customHeight="1">
      <c r="A11" s="18" t="s">
        <v>344</v>
      </c>
      <c r="B11" s="32">
        <v>7</v>
      </c>
      <c r="C11" s="33" t="s">
        <v>243</v>
      </c>
      <c r="D11" s="23">
        <v>7490</v>
      </c>
      <c r="E11" s="30">
        <f t="shared" si="0"/>
        <v>0.0032271991272343724</v>
      </c>
      <c r="F11" s="30">
        <f t="shared" si="1"/>
        <v>0.0020654074414299985</v>
      </c>
      <c r="G11" s="27">
        <v>61295</v>
      </c>
      <c r="H11" s="27">
        <v>18865</v>
      </c>
      <c r="I11" s="26">
        <f t="shared" si="2"/>
        <v>80160</v>
      </c>
      <c r="J11" s="29">
        <f t="shared" si="16"/>
        <v>6.403668110924235E-5</v>
      </c>
      <c r="K11" s="29">
        <f t="shared" si="3"/>
        <v>2.113210476604998E-5</v>
      </c>
      <c r="L11" s="27">
        <v>86490</v>
      </c>
      <c r="M11" s="27">
        <v>19585</v>
      </c>
      <c r="N11" s="26">
        <f t="shared" si="4"/>
        <v>106075</v>
      </c>
      <c r="O11" s="21">
        <f t="shared" si="17"/>
        <v>6.515592018956465E-5</v>
      </c>
      <c r="P11" s="28">
        <f t="shared" si="9"/>
        <v>2.1501453662556336E-5</v>
      </c>
      <c r="Q11" s="27">
        <v>114780</v>
      </c>
      <c r="R11" s="27">
        <v>14095</v>
      </c>
      <c r="S11" s="26">
        <f t="shared" si="5"/>
        <v>128875</v>
      </c>
      <c r="T11" s="24">
        <f t="shared" si="6"/>
        <v>6.6930428075982E-5</v>
      </c>
      <c r="U11" s="24">
        <f t="shared" si="7"/>
        <v>2.275634554583388E-5</v>
      </c>
      <c r="V11" s="24">
        <f t="shared" si="10"/>
        <v>6.53899039744402E-5</v>
      </c>
      <c r="W11" s="25">
        <f t="shared" si="8"/>
        <v>2.942545678849809E-6</v>
      </c>
      <c r="X11" s="24">
        <f t="shared" si="18"/>
        <v>1.33860856151964E-6</v>
      </c>
      <c r="Y11" s="37">
        <v>56.2566657520727</v>
      </c>
      <c r="Z11" s="74">
        <f t="shared" si="11"/>
        <v>8014.520704071624</v>
      </c>
      <c r="AA11" s="22">
        <f t="shared" si="12"/>
        <v>0.0034707018574814848</v>
      </c>
      <c r="AB11" s="22">
        <f t="shared" si="13"/>
        <v>8.676754643703713E-5</v>
      </c>
      <c r="AC11" s="22">
        <f t="shared" si="14"/>
        <v>0.0025471698113207547</v>
      </c>
      <c r="AD11" s="80">
        <f t="shared" si="15"/>
        <v>0.0047036259534281605</v>
      </c>
      <c r="AE11" s="72"/>
    </row>
    <row r="12" spans="1:31" s="6" customFormat="1" ht="16.15" customHeight="1">
      <c r="A12" s="18" t="s">
        <v>244</v>
      </c>
      <c r="B12" s="32">
        <v>8</v>
      </c>
      <c r="C12" s="31" t="s">
        <v>244</v>
      </c>
      <c r="D12" s="23">
        <v>3949</v>
      </c>
      <c r="E12" s="30">
        <f t="shared" si="0"/>
        <v>0.0017014965758943305</v>
      </c>
      <c r="F12" s="30">
        <f t="shared" si="1"/>
        <v>0.0010889578085723716</v>
      </c>
      <c r="G12" s="27">
        <v>52800.18</v>
      </c>
      <c r="H12" s="27">
        <v>4308</v>
      </c>
      <c r="I12" s="26">
        <f t="shared" si="2"/>
        <v>57108.18</v>
      </c>
      <c r="J12" s="29">
        <f t="shared" si="16"/>
        <v>4.56214859205241E-5</v>
      </c>
      <c r="K12" s="29">
        <f t="shared" si="3"/>
        <v>1.5055090353772955E-5</v>
      </c>
      <c r="L12" s="27">
        <v>56229.16</v>
      </c>
      <c r="M12" s="27">
        <v>7920</v>
      </c>
      <c r="N12" s="26">
        <f t="shared" si="4"/>
        <v>64149.16</v>
      </c>
      <c r="O12" s="21">
        <f t="shared" si="17"/>
        <v>3.9403229311219544E-5</v>
      </c>
      <c r="P12" s="28">
        <f t="shared" si="9"/>
        <v>1.300306567270245E-5</v>
      </c>
      <c r="Q12" s="27">
        <v>153654.92</v>
      </c>
      <c r="R12" s="27">
        <v>5544</v>
      </c>
      <c r="S12" s="26">
        <f t="shared" si="5"/>
        <v>159198.92</v>
      </c>
      <c r="T12" s="24">
        <f t="shared" si="6"/>
        <v>8.26789669434259E-5</v>
      </c>
      <c r="U12" s="24">
        <f t="shared" si="7"/>
        <v>2.811084876076481E-5</v>
      </c>
      <c r="V12" s="24">
        <f t="shared" si="10"/>
        <v>5.6169004787240215E-5</v>
      </c>
      <c r="W12" s="25">
        <f t="shared" si="8"/>
        <v>2.5276052154258095E-6</v>
      </c>
      <c r="X12" s="24">
        <f t="shared" si="18"/>
        <v>1.653579338868518E-6</v>
      </c>
      <c r="Y12" s="37">
        <v>52.1191022224473</v>
      </c>
      <c r="Z12" s="74">
        <f t="shared" si="11"/>
        <v>6604.539471109689</v>
      </c>
      <c r="AA12" s="22">
        <f t="shared" si="12"/>
        <v>0.0028601070802081654</v>
      </c>
      <c r="AB12" s="22">
        <f t="shared" si="13"/>
        <v>7.150267700520414E-5</v>
      </c>
      <c r="AC12" s="22">
        <f t="shared" si="14"/>
        <v>0.0025471698113207547</v>
      </c>
      <c r="AD12" s="80">
        <f t="shared" si="15"/>
        <v>0.0037118114814526245</v>
      </c>
      <c r="AE12" s="72"/>
    </row>
    <row r="13" spans="1:31" s="6" customFormat="1" ht="16.15" customHeight="1">
      <c r="A13" s="18" t="s">
        <v>245</v>
      </c>
      <c r="B13" s="32">
        <v>9</v>
      </c>
      <c r="C13" s="33" t="s">
        <v>245</v>
      </c>
      <c r="D13" s="23">
        <v>4466</v>
      </c>
      <c r="E13" s="30">
        <f t="shared" si="0"/>
        <v>0.001924255180537878</v>
      </c>
      <c r="F13" s="30">
        <f t="shared" si="1"/>
        <v>0.001231523315544242</v>
      </c>
      <c r="G13" s="27">
        <v>84738</v>
      </c>
      <c r="H13" s="27">
        <v>42076</v>
      </c>
      <c r="I13" s="26">
        <f t="shared" si="2"/>
        <v>126814</v>
      </c>
      <c r="J13" s="29">
        <f t="shared" si="16"/>
        <v>1.013067325123186E-4</v>
      </c>
      <c r="K13" s="29">
        <f t="shared" si="3"/>
        <v>3.343122172906514E-5</v>
      </c>
      <c r="L13" s="27">
        <v>72190</v>
      </c>
      <c r="M13" s="27">
        <v>68340</v>
      </c>
      <c r="N13" s="26">
        <f t="shared" si="4"/>
        <v>140530</v>
      </c>
      <c r="O13" s="21">
        <f t="shared" si="17"/>
        <v>8.631969327588517E-5</v>
      </c>
      <c r="P13" s="28">
        <f t="shared" si="9"/>
        <v>2.8485498781042106E-5</v>
      </c>
      <c r="Q13" s="27">
        <v>78680</v>
      </c>
      <c r="R13" s="27">
        <v>71928</v>
      </c>
      <c r="S13" s="26">
        <f t="shared" si="5"/>
        <v>150608</v>
      </c>
      <c r="T13" s="24">
        <f t="shared" si="6"/>
        <v>7.821732618170706E-5</v>
      </c>
      <c r="U13" s="24">
        <f t="shared" si="7"/>
        <v>2.6593890901780402E-5</v>
      </c>
      <c r="V13" s="24">
        <f t="shared" si="10"/>
        <v>8.851061141188765E-5</v>
      </c>
      <c r="W13" s="25">
        <f t="shared" si="8"/>
        <v>3.982977513534944E-6</v>
      </c>
      <c r="X13" s="24">
        <f t="shared" si="18"/>
        <v>1.5643465236341413E-6</v>
      </c>
      <c r="Y13" s="37">
        <v>53.7285104726297</v>
      </c>
      <c r="Z13" s="74">
        <f t="shared" si="11"/>
        <v>6422.6835565767215</v>
      </c>
      <c r="AA13" s="22">
        <f t="shared" si="12"/>
        <v>0.002781354066313908</v>
      </c>
      <c r="AB13" s="22">
        <f t="shared" si="13"/>
        <v>6.95338516578477E-5</v>
      </c>
      <c r="AC13" s="22">
        <f t="shared" si="14"/>
        <v>0.0025471698113207547</v>
      </c>
      <c r="AD13" s="80">
        <f t="shared" si="15"/>
        <v>0.0038537743025600134</v>
      </c>
      <c r="AE13" s="72"/>
    </row>
    <row r="14" spans="1:31" s="6" customFormat="1" ht="16.15" customHeight="1">
      <c r="A14" s="18" t="s">
        <v>246</v>
      </c>
      <c r="B14" s="32">
        <v>10</v>
      </c>
      <c r="C14" s="31" t="s">
        <v>246</v>
      </c>
      <c r="D14" s="23">
        <v>2755</v>
      </c>
      <c r="E14" s="30">
        <f t="shared" si="0"/>
        <v>0.001187040533448691</v>
      </c>
      <c r="F14" s="30">
        <f t="shared" si="1"/>
        <v>7.597059414071622E-4</v>
      </c>
      <c r="G14" s="27">
        <v>0</v>
      </c>
      <c r="H14" s="27">
        <v>0</v>
      </c>
      <c r="I14" s="26">
        <f t="shared" si="2"/>
        <v>0</v>
      </c>
      <c r="J14" s="29">
        <f t="shared" si="16"/>
        <v>0</v>
      </c>
      <c r="K14" s="29">
        <f t="shared" si="3"/>
        <v>0</v>
      </c>
      <c r="L14" s="27">
        <v>11176</v>
      </c>
      <c r="M14" s="27">
        <v>0</v>
      </c>
      <c r="N14" s="26">
        <f t="shared" si="4"/>
        <v>11176</v>
      </c>
      <c r="O14" s="21">
        <f t="shared" si="17"/>
        <v>6.86478966805161E-6</v>
      </c>
      <c r="P14" s="28">
        <f t="shared" si="9"/>
        <v>2.2653805904570315E-6</v>
      </c>
      <c r="Q14" s="27">
        <v>53028.49</v>
      </c>
      <c r="R14" s="27">
        <v>1500</v>
      </c>
      <c r="S14" s="26">
        <f t="shared" si="5"/>
        <v>54528.49</v>
      </c>
      <c r="T14" s="24">
        <f t="shared" si="6"/>
        <v>2.8319031449364916E-5</v>
      </c>
      <c r="U14" s="24">
        <f t="shared" si="7"/>
        <v>9.628470692784072E-6</v>
      </c>
      <c r="V14" s="24">
        <f t="shared" si="10"/>
        <v>1.1893851283241103E-5</v>
      </c>
      <c r="W14" s="25">
        <f t="shared" si="8"/>
        <v>5.352233077458496E-7</v>
      </c>
      <c r="X14" s="24">
        <f t="shared" si="18"/>
        <v>5.663806289872983E-7</v>
      </c>
      <c r="Y14" s="37">
        <v>49.0618522491806</v>
      </c>
      <c r="Z14" s="74">
        <f t="shared" si="11"/>
        <v>5833.97233099068</v>
      </c>
      <c r="AA14" s="22">
        <f t="shared" si="12"/>
        <v>0.0025264116661871425</v>
      </c>
      <c r="AB14" s="22">
        <f t="shared" si="13"/>
        <v>6.316029165467857E-5</v>
      </c>
      <c r="AC14" s="22">
        <f t="shared" si="14"/>
        <v>0.0025471698113207547</v>
      </c>
      <c r="AD14" s="80">
        <f t="shared" si="15"/>
        <v>0.0033711376483193285</v>
      </c>
      <c r="AE14" s="72"/>
    </row>
    <row r="15" spans="1:31" s="6" customFormat="1" ht="16.15" customHeight="1">
      <c r="A15" s="18" t="s">
        <v>345</v>
      </c>
      <c r="B15" s="32">
        <v>11</v>
      </c>
      <c r="C15" s="31" t="s">
        <v>247</v>
      </c>
      <c r="D15" s="23">
        <v>8389</v>
      </c>
      <c r="E15" s="30">
        <f t="shared" si="0"/>
        <v>0.003614549196043945</v>
      </c>
      <c r="F15" s="30">
        <f t="shared" si="1"/>
        <v>0.0023133114854681247</v>
      </c>
      <c r="G15" s="27">
        <v>300492.55</v>
      </c>
      <c r="H15" s="27">
        <v>8900</v>
      </c>
      <c r="I15" s="26">
        <f t="shared" si="2"/>
        <v>309392.55</v>
      </c>
      <c r="J15" s="29">
        <f t="shared" si="16"/>
        <v>2.471615776188288E-4</v>
      </c>
      <c r="K15" s="29">
        <f t="shared" si="3"/>
        <v>8.156332061421351E-5</v>
      </c>
      <c r="L15" s="27">
        <v>0</v>
      </c>
      <c r="M15" s="27">
        <v>0</v>
      </c>
      <c r="N15" s="26">
        <f t="shared" si="4"/>
        <v>0</v>
      </c>
      <c r="O15" s="21">
        <f t="shared" si="17"/>
        <v>0</v>
      </c>
      <c r="P15" s="28">
        <f t="shared" si="9"/>
        <v>0</v>
      </c>
      <c r="Q15" s="27">
        <v>0</v>
      </c>
      <c r="R15" s="27">
        <v>0</v>
      </c>
      <c r="S15" s="26">
        <f t="shared" si="5"/>
        <v>0</v>
      </c>
      <c r="T15" s="24">
        <f t="shared" si="6"/>
        <v>0</v>
      </c>
      <c r="U15" s="24">
        <f t="shared" si="7"/>
        <v>0</v>
      </c>
      <c r="V15" s="24">
        <f t="shared" si="10"/>
        <v>8.156332061421351E-5</v>
      </c>
      <c r="W15" s="25">
        <f t="shared" si="8"/>
        <v>3.670349427639608E-6</v>
      </c>
      <c r="X15" s="24">
        <f t="shared" si="18"/>
        <v>0</v>
      </c>
      <c r="Y15" s="37">
        <v>55.2011694096428</v>
      </c>
      <c r="Z15" s="74">
        <f t="shared" si="11"/>
        <v>10265.70095815694</v>
      </c>
      <c r="AA15" s="22">
        <f t="shared" si="12"/>
        <v>0.0044455793052882156</v>
      </c>
      <c r="AB15" s="22">
        <f t="shared" si="13"/>
        <v>1.111394826322054E-4</v>
      </c>
      <c r="AC15" s="22">
        <f t="shared" si="14"/>
        <v>0.0025471698113207547</v>
      </c>
      <c r="AD15" s="80">
        <f t="shared" si="15"/>
        <v>0.004975291128848725</v>
      </c>
      <c r="AE15" s="72"/>
    </row>
    <row r="16" spans="1:31" s="6" customFormat="1" ht="16.15" customHeight="1">
      <c r="A16" s="18" t="s">
        <v>248</v>
      </c>
      <c r="B16" s="32">
        <v>12</v>
      </c>
      <c r="C16" s="31" t="s">
        <v>248</v>
      </c>
      <c r="D16" s="23">
        <v>3736</v>
      </c>
      <c r="E16" s="30">
        <f t="shared" si="0"/>
        <v>0.001609721754252018</v>
      </c>
      <c r="F16" s="30">
        <f t="shared" si="1"/>
        <v>0.0010302219227212915</v>
      </c>
      <c r="G16" s="27">
        <v>438760</v>
      </c>
      <c r="H16" s="27">
        <v>223756</v>
      </c>
      <c r="I16" s="26">
        <f t="shared" si="2"/>
        <v>662516</v>
      </c>
      <c r="J16" s="29">
        <f t="shared" si="16"/>
        <v>5.292580566588175E-4</v>
      </c>
      <c r="K16" s="29">
        <f t="shared" si="3"/>
        <v>1.7465515869740977E-4</v>
      </c>
      <c r="L16" s="27">
        <v>620443</v>
      </c>
      <c r="M16" s="27">
        <v>242566</v>
      </c>
      <c r="N16" s="26">
        <f t="shared" si="4"/>
        <v>863009</v>
      </c>
      <c r="O16" s="21">
        <f t="shared" si="17"/>
        <v>5.300980016674616E-4</v>
      </c>
      <c r="P16" s="28">
        <f t="shared" si="9"/>
        <v>1.7493234055026235E-4</v>
      </c>
      <c r="Q16" s="27">
        <v>485117.50</v>
      </c>
      <c r="R16" s="27">
        <v>210582.50</v>
      </c>
      <c r="S16" s="26">
        <f t="shared" si="5"/>
        <v>695700</v>
      </c>
      <c r="T16" s="24">
        <f t="shared" si="6"/>
        <v>3.613074592625465E-4</v>
      </c>
      <c r="U16" s="24">
        <f t="shared" si="7"/>
        <v>1.2284453614926582E-4</v>
      </c>
      <c r="V16" s="24">
        <f t="shared" si="10"/>
        <v>4.7243203539693794E-4</v>
      </c>
      <c r="W16" s="25">
        <f t="shared" si="8"/>
        <v>2.1259441592862206E-5</v>
      </c>
      <c r="X16" s="24">
        <f t="shared" si="18"/>
        <v>7.22614918525093E-6</v>
      </c>
      <c r="Y16" s="37">
        <v>53.7340024023425</v>
      </c>
      <c r="Z16" s="74">
        <f t="shared" si="11"/>
        <v>5369.862078817926</v>
      </c>
      <c r="AA16" s="22">
        <f t="shared" si="12"/>
        <v>0.002325427930070041</v>
      </c>
      <c r="AB16" s="22">
        <f t="shared" si="13"/>
        <v>5.813569825175103E-5</v>
      </c>
      <c r="AC16" s="22">
        <f t="shared" si="14"/>
        <v>0.0025471698113207547</v>
      </c>
      <c r="AD16" s="80">
        <f t="shared" si="15"/>
        <v>0.0036640130230719105</v>
      </c>
      <c r="AE16" s="72"/>
    </row>
    <row r="17" spans="1:31" s="6" customFormat="1" ht="16.15" customHeight="1">
      <c r="A17" s="18" t="s">
        <v>249</v>
      </c>
      <c r="B17" s="32">
        <v>13</v>
      </c>
      <c r="C17" s="33" t="s">
        <v>249</v>
      </c>
      <c r="D17" s="23">
        <v>16671</v>
      </c>
      <c r="E17" s="30">
        <f t="shared" si="0"/>
        <v>0.007182995547413113</v>
      </c>
      <c r="F17" s="30">
        <f t="shared" si="1"/>
        <v>0.004597117150344393</v>
      </c>
      <c r="G17" s="27">
        <v>9123211.28</v>
      </c>
      <c r="H17" s="27">
        <v>620168.62</v>
      </c>
      <c r="I17" s="26">
        <f t="shared" si="2"/>
        <v>9743379.899999999</v>
      </c>
      <c r="J17" s="29">
        <f t="shared" si="16"/>
        <v>0.007783604186408452</v>
      </c>
      <c r="K17" s="29">
        <f t="shared" si="3"/>
        <v>0.0025685893815147894</v>
      </c>
      <c r="L17" s="27">
        <v>8992644.08</v>
      </c>
      <c r="M17" s="27">
        <v>1045972.88</v>
      </c>
      <c r="N17" s="26">
        <f t="shared" si="4"/>
        <v>1.003861696E7</v>
      </c>
      <c r="O17" s="21">
        <f t="shared" si="17"/>
        <v>0.006166159089883292</v>
      </c>
      <c r="P17" s="28">
        <f t="shared" si="9"/>
        <v>0.0020348324996614865</v>
      </c>
      <c r="Q17" s="27">
        <v>1.603323408E7</v>
      </c>
      <c r="R17" s="27">
        <v>1055204.24</v>
      </c>
      <c r="S17" s="26">
        <f t="shared" si="5"/>
        <v>1.708843832E7</v>
      </c>
      <c r="T17" s="24">
        <f t="shared" si="6"/>
        <v>0.008874773943027079</v>
      </c>
      <c r="U17" s="24">
        <f t="shared" si="7"/>
        <v>0.003017423140629207</v>
      </c>
      <c r="V17" s="24">
        <f t="shared" si="10"/>
        <v>0.007620845021805483</v>
      </c>
      <c r="W17" s="25">
        <f t="shared" si="8"/>
        <v>3.429380259812467E-4</v>
      </c>
      <c r="X17" s="24">
        <f t="shared" si="18"/>
        <v>1.7749547886054159E-4</v>
      </c>
      <c r="Y17" s="37">
        <v>58.8830841950992</v>
      </c>
      <c r="Z17" s="74">
        <f t="shared" si="11"/>
        <v>11463.362052637745</v>
      </c>
      <c r="AA17" s="22">
        <f t="shared" si="12"/>
        <v>0.004964228484538086</v>
      </c>
      <c r="AB17" s="22">
        <f t="shared" si="13"/>
        <v>1.2410571211345217E-4</v>
      </c>
      <c r="AC17" s="22">
        <f t="shared" si="14"/>
        <v>0.0025471698113207547</v>
      </c>
      <c r="AD17" s="80">
        <f t="shared" si="15"/>
        <v>0.007788826178620387</v>
      </c>
      <c r="AE17" s="72"/>
    </row>
    <row r="18" spans="1:31" s="6" customFormat="1" ht="16.15" customHeight="1">
      <c r="A18" s="18" t="s">
        <v>250</v>
      </c>
      <c r="B18" s="32">
        <v>14</v>
      </c>
      <c r="C18" s="31" t="s">
        <v>250</v>
      </c>
      <c r="D18" s="23">
        <v>1714</v>
      </c>
      <c r="E18" s="30">
        <f t="shared" si="0"/>
        <v>7.385072502109097E-4</v>
      </c>
      <c r="F18" s="30">
        <f t="shared" si="1"/>
        <v>4.726446401349822E-4</v>
      </c>
      <c r="G18" s="27">
        <v>37804</v>
      </c>
      <c r="H18" s="27">
        <v>450</v>
      </c>
      <c r="I18" s="26">
        <f t="shared" si="2"/>
        <v>38254</v>
      </c>
      <c r="J18" s="29">
        <f t="shared" si="16"/>
        <v>3.055962074791613E-5</v>
      </c>
      <c r="K18" s="29">
        <f t="shared" si="3"/>
        <v>1.0084674846812325E-5</v>
      </c>
      <c r="L18" s="27">
        <v>18065.41</v>
      </c>
      <c r="M18" s="27">
        <v>8000</v>
      </c>
      <c r="N18" s="26">
        <f t="shared" si="4"/>
        <v>26065.41</v>
      </c>
      <c r="O18" s="21">
        <f t="shared" si="17"/>
        <v>1.601051872418836E-5</v>
      </c>
      <c r="P18" s="28">
        <f t="shared" si="9"/>
        <v>5.283471178982159E-6</v>
      </c>
      <c r="Q18" s="27">
        <v>14839.50</v>
      </c>
      <c r="R18" s="27">
        <v>6850</v>
      </c>
      <c r="S18" s="26">
        <f t="shared" si="5"/>
        <v>21689.50</v>
      </c>
      <c r="T18" s="24">
        <f t="shared" si="6"/>
        <v>1.1264306651825502E-5</v>
      </c>
      <c r="U18" s="24">
        <f t="shared" si="7"/>
        <v>3.829864261620671E-6</v>
      </c>
      <c r="V18" s="24">
        <f t="shared" si="10"/>
        <v>1.9198010287415154E-5</v>
      </c>
      <c r="W18" s="25">
        <f t="shared" si="8"/>
        <v>8.639104629336819E-7</v>
      </c>
      <c r="X18" s="24">
        <f t="shared" si="18"/>
        <v>2.2528613303651003E-7</v>
      </c>
      <c r="Y18" s="37">
        <v>52.6031192064331</v>
      </c>
      <c r="Z18" s="74">
        <f t="shared" si="11"/>
        <v>2745.8037358332836</v>
      </c>
      <c r="AA18" s="22">
        <f t="shared" si="12"/>
        <v>0.001189074990023385</v>
      </c>
      <c r="AB18" s="22">
        <f t="shared" si="13"/>
        <v>2.9726874750584623E-5</v>
      </c>
      <c r="AC18" s="22">
        <f t="shared" si="14"/>
        <v>0.0025471698113207547</v>
      </c>
      <c r="AD18" s="80">
        <f t="shared" si="15"/>
        <v>0.003050630522802292</v>
      </c>
      <c r="AE18" s="72"/>
    </row>
    <row r="19" spans="1:31" s="6" customFormat="1" ht="16.15" customHeight="1">
      <c r="A19" s="18" t="s">
        <v>346</v>
      </c>
      <c r="B19" s="32">
        <v>15</v>
      </c>
      <c r="C19" s="33" t="s">
        <v>251</v>
      </c>
      <c r="D19" s="23">
        <v>5560</v>
      </c>
      <c r="E19" s="30">
        <f t="shared" si="0"/>
        <v>0.0023956244522594272</v>
      </c>
      <c r="F19" s="30">
        <f t="shared" si="1"/>
        <v>0.0015331996494460335</v>
      </c>
      <c r="G19" s="27">
        <v>21650</v>
      </c>
      <c r="H19" s="27">
        <v>0</v>
      </c>
      <c r="I19" s="26">
        <f t="shared" si="2"/>
        <v>21650</v>
      </c>
      <c r="J19" s="29">
        <f t="shared" si="16"/>
        <v>1.7295336152882947E-5</v>
      </c>
      <c r="K19" s="29">
        <f t="shared" si="3"/>
        <v>5.707460930451373E-6</v>
      </c>
      <c r="L19" s="27">
        <v>0</v>
      </c>
      <c r="M19" s="27">
        <v>0</v>
      </c>
      <c r="N19" s="26">
        <f t="shared" si="4"/>
        <v>0</v>
      </c>
      <c r="O19" s="21">
        <f t="shared" si="17"/>
        <v>0</v>
      </c>
      <c r="P19" s="28">
        <f t="shared" si="9"/>
        <v>0</v>
      </c>
      <c r="Q19" s="27">
        <v>0</v>
      </c>
      <c r="R19" s="27">
        <v>0</v>
      </c>
      <c r="S19" s="26">
        <f t="shared" si="5"/>
        <v>0</v>
      </c>
      <c r="T19" s="24">
        <f t="shared" si="6"/>
        <v>0</v>
      </c>
      <c r="U19" s="24">
        <f t="shared" si="7"/>
        <v>0</v>
      </c>
      <c r="V19" s="24">
        <f t="shared" si="10"/>
        <v>5.707460930451373E-6</v>
      </c>
      <c r="W19" s="25">
        <f t="shared" si="8"/>
        <v>2.5683574187031177E-7</v>
      </c>
      <c r="X19" s="24">
        <f t="shared" si="18"/>
        <v>0</v>
      </c>
      <c r="Y19" s="37">
        <v>51.7112428233544</v>
      </c>
      <c r="Z19" s="74">
        <f t="shared" si="11"/>
        <v>9629.047329752966</v>
      </c>
      <c r="AA19" s="22">
        <f t="shared" si="12"/>
        <v>0.0041698753658684275</v>
      </c>
      <c r="AB19" s="22">
        <f t="shared" si="13"/>
        <v>1.042468841467107E-4</v>
      </c>
      <c r="AC19" s="22">
        <f t="shared" si="14"/>
        <v>0.0025471698113207547</v>
      </c>
      <c r="AD19" s="80">
        <f t="shared" si="15"/>
        <v>0.0041848731806553695</v>
      </c>
      <c r="AE19" s="72"/>
    </row>
    <row r="20" spans="1:31" s="6" customFormat="1" ht="16.15" customHeight="1">
      <c r="A20" s="18" t="s">
        <v>347</v>
      </c>
      <c r="B20" s="32">
        <v>16</v>
      </c>
      <c r="C20" s="31" t="s">
        <v>252</v>
      </c>
      <c r="D20" s="23">
        <v>3104</v>
      </c>
      <c r="E20" s="30">
        <f t="shared" si="0"/>
        <v>0.0013374133632757666</v>
      </c>
      <c r="F20" s="30">
        <f t="shared" si="1"/>
        <v>8.559445524964907E-4</v>
      </c>
      <c r="G20" s="27">
        <v>0</v>
      </c>
      <c r="H20" s="27">
        <v>0</v>
      </c>
      <c r="I20" s="26">
        <f t="shared" si="2"/>
        <v>0</v>
      </c>
      <c r="J20" s="29">
        <f t="shared" si="16"/>
        <v>0</v>
      </c>
      <c r="K20" s="29">
        <f t="shared" si="3"/>
        <v>0</v>
      </c>
      <c r="L20" s="27">
        <v>3583</v>
      </c>
      <c r="M20" s="27">
        <v>8820</v>
      </c>
      <c r="N20" s="26">
        <f t="shared" si="4"/>
        <v>12403</v>
      </c>
      <c r="O20" s="21">
        <f t="shared" si="17"/>
        <v>7.618466915966725E-6</v>
      </c>
      <c r="P20" s="28">
        <f t="shared" si="9"/>
        <v>2.5140940822690195E-6</v>
      </c>
      <c r="Q20" s="27">
        <v>0</v>
      </c>
      <c r="R20" s="27">
        <v>0</v>
      </c>
      <c r="S20" s="26">
        <f t="shared" si="5"/>
        <v>0</v>
      </c>
      <c r="T20" s="24">
        <f t="shared" si="6"/>
        <v>0</v>
      </c>
      <c r="U20" s="24">
        <f t="shared" si="7"/>
        <v>0</v>
      </c>
      <c r="V20" s="24">
        <f t="shared" si="10"/>
        <v>2.5140940822690195E-6</v>
      </c>
      <c r="W20" s="25">
        <f t="shared" si="8"/>
        <v>1.1313423370210587E-7</v>
      </c>
      <c r="X20" s="24">
        <f t="shared" si="18"/>
        <v>0</v>
      </c>
      <c r="Y20" s="37">
        <v>52.3038560460195</v>
      </c>
      <c r="Z20" s="74">
        <f t="shared" si="11"/>
        <v>5107.813769307434</v>
      </c>
      <c r="AA20" s="22">
        <f t="shared" si="12"/>
        <v>0.002211947462784468</v>
      </c>
      <c r="AB20" s="22">
        <f t="shared" si="13"/>
        <v>5.52986865696117E-5</v>
      </c>
      <c r="AC20" s="22">
        <f t="shared" si="14"/>
        <v>0.0025471698113207547</v>
      </c>
      <c r="AD20" s="80">
        <f t="shared" si="15"/>
        <v>0.0034585261846205593</v>
      </c>
      <c r="AE20" s="72"/>
    </row>
    <row r="21" spans="1:31" s="6" customFormat="1" ht="16.15" customHeight="1">
      <c r="A21" s="18" t="s">
        <v>253</v>
      </c>
      <c r="B21" s="32">
        <v>17</v>
      </c>
      <c r="C21" s="31" t="s">
        <v>253</v>
      </c>
      <c r="D21" s="23">
        <v>4686</v>
      </c>
      <c r="E21" s="30">
        <f t="shared" si="0"/>
        <v>0.002019046076130877</v>
      </c>
      <c r="F21" s="30">
        <f t="shared" si="1"/>
        <v>0.0012921894887237611</v>
      </c>
      <c r="G21" s="27">
        <v>0</v>
      </c>
      <c r="H21" s="27">
        <v>0</v>
      </c>
      <c r="I21" s="26">
        <f t="shared" si="2"/>
        <v>0</v>
      </c>
      <c r="J21" s="29">
        <f t="shared" si="16"/>
        <v>0</v>
      </c>
      <c r="K21" s="29">
        <f t="shared" si="3"/>
        <v>0</v>
      </c>
      <c r="L21" s="27">
        <v>0</v>
      </c>
      <c r="M21" s="27">
        <v>0</v>
      </c>
      <c r="N21" s="26">
        <f t="shared" si="4"/>
        <v>0</v>
      </c>
      <c r="O21" s="21">
        <f t="shared" si="17"/>
        <v>0</v>
      </c>
      <c r="P21" s="28">
        <f t="shared" si="9"/>
        <v>0</v>
      </c>
      <c r="Q21" s="27">
        <v>0</v>
      </c>
      <c r="R21" s="27">
        <v>0</v>
      </c>
      <c r="S21" s="26">
        <f t="shared" si="5"/>
        <v>0</v>
      </c>
      <c r="T21" s="24">
        <f t="shared" si="6"/>
        <v>0</v>
      </c>
      <c r="U21" s="24">
        <f t="shared" si="7"/>
        <v>0</v>
      </c>
      <c r="V21" s="24">
        <f t="shared" si="10"/>
        <v>0</v>
      </c>
      <c r="W21" s="25">
        <f t="shared" si="8"/>
        <v>0</v>
      </c>
      <c r="X21" s="24">
        <f t="shared" si="18"/>
        <v>0</v>
      </c>
      <c r="Y21" s="37">
        <v>49.8884484015607</v>
      </c>
      <c r="Z21" s="74">
        <f t="shared" si="11"/>
        <v>9359.075603065714</v>
      </c>
      <c r="AA21" s="22">
        <f t="shared" si="12"/>
        <v>0.004052963649263228</v>
      </c>
      <c r="AB21" s="22">
        <f t="shared" si="13"/>
        <v>1.013240912315807E-4</v>
      </c>
      <c r="AC21" s="22">
        <f t="shared" si="14"/>
        <v>0.0025471698113207547</v>
      </c>
      <c r="AD21" s="80">
        <f t="shared" si="15"/>
        <v>0.003940683391276097</v>
      </c>
      <c r="AE21" s="72"/>
    </row>
    <row r="22" spans="1:31" s="6" customFormat="1" ht="16.15" customHeight="1">
      <c r="A22" s="18" t="s">
        <v>1</v>
      </c>
      <c r="B22" s="32">
        <v>18</v>
      </c>
      <c r="C22" s="31" t="s">
        <v>1</v>
      </c>
      <c r="D22" s="23">
        <v>3385</v>
      </c>
      <c r="E22" s="30">
        <f t="shared" si="0"/>
        <v>0.0014584871890104606</v>
      </c>
      <c r="F22" s="30">
        <f t="shared" si="1"/>
        <v>9.334318009666947E-4</v>
      </c>
      <c r="G22" s="27">
        <v>0</v>
      </c>
      <c r="H22" s="27">
        <v>0</v>
      </c>
      <c r="I22" s="26">
        <f t="shared" si="2"/>
        <v>0</v>
      </c>
      <c r="J22" s="29">
        <f t="shared" si="16"/>
        <v>0</v>
      </c>
      <c r="K22" s="29">
        <f t="shared" si="3"/>
        <v>0</v>
      </c>
      <c r="L22" s="27">
        <v>0</v>
      </c>
      <c r="M22" s="27">
        <v>0</v>
      </c>
      <c r="N22" s="26">
        <f t="shared" si="4"/>
        <v>0</v>
      </c>
      <c r="O22" s="21">
        <f t="shared" si="17"/>
        <v>0</v>
      </c>
      <c r="P22" s="28">
        <f t="shared" si="9"/>
        <v>0</v>
      </c>
      <c r="Q22" s="27">
        <v>580</v>
      </c>
      <c r="R22" s="27">
        <v>120</v>
      </c>
      <c r="S22" s="26">
        <f t="shared" si="5"/>
        <v>700</v>
      </c>
      <c r="T22" s="24">
        <f t="shared" si="6"/>
        <v>3.6354063746411176E-7</v>
      </c>
      <c r="U22" s="24">
        <f t="shared" si="7"/>
        <v>1.23603816737798E-7</v>
      </c>
      <c r="V22" s="24">
        <f t="shared" si="10"/>
        <v>1.23603816737798E-7</v>
      </c>
      <c r="W22" s="25">
        <f t="shared" si="8"/>
        <v>5.56217175320091E-9</v>
      </c>
      <c r="X22" s="24">
        <f t="shared" si="18"/>
        <v>7.270812749282236E-9</v>
      </c>
      <c r="Y22" s="37">
        <v>52.5760722796216</v>
      </c>
      <c r="Z22" s="74">
        <f t="shared" si="11"/>
        <v>5436.052320554814</v>
      </c>
      <c r="AA22" s="22">
        <f t="shared" si="12"/>
        <v>0.0023540917271236386</v>
      </c>
      <c r="AB22" s="22">
        <f t="shared" si="13"/>
        <v>5.885229317809097E-5</v>
      </c>
      <c r="AC22" s="22">
        <f t="shared" si="14"/>
        <v>0.0025471698113207547</v>
      </c>
      <c r="AD22" s="80">
        <f t="shared" si="15"/>
        <v>0.003539466738450043</v>
      </c>
      <c r="AE22" s="72"/>
    </row>
    <row r="23" spans="1:31" s="6" customFormat="1" ht="16.15" customHeight="1">
      <c r="A23" s="18" t="s">
        <v>254</v>
      </c>
      <c r="B23" s="32">
        <v>19</v>
      </c>
      <c r="C23" s="31" t="s">
        <v>254</v>
      </c>
      <c r="D23" s="23">
        <v>38934</v>
      </c>
      <c r="E23" s="30">
        <f t="shared" si="0"/>
        <v>0.016775403313717362</v>
      </c>
      <c r="F23" s="30">
        <f t="shared" si="1"/>
        <v>0.010736258120779113</v>
      </c>
      <c r="G23" s="27">
        <v>31340</v>
      </c>
      <c r="H23" s="27">
        <v>13200</v>
      </c>
      <c r="I23" s="26">
        <f t="shared" si="2"/>
        <v>44540</v>
      </c>
      <c r="J23" s="29">
        <f t="shared" si="16"/>
        <v>3.558125968819429E-5</v>
      </c>
      <c r="K23" s="29">
        <f t="shared" si="3"/>
        <v>1.1741815697104117E-5</v>
      </c>
      <c r="L23" s="27">
        <v>535</v>
      </c>
      <c r="M23" s="27">
        <v>3600</v>
      </c>
      <c r="N23" s="26">
        <f t="shared" si="4"/>
        <v>4135</v>
      </c>
      <c r="O23" s="21">
        <f t="shared" si="17"/>
        <v>2.539898467912796E-6</v>
      </c>
      <c r="P23" s="28">
        <f t="shared" si="9"/>
        <v>8.381664944112226E-7</v>
      </c>
      <c r="Q23" s="27">
        <v>33324</v>
      </c>
      <c r="R23" s="27">
        <v>59680</v>
      </c>
      <c r="S23" s="26">
        <f t="shared" si="5"/>
        <v>93004</v>
      </c>
      <c r="T23" s="24">
        <f t="shared" si="6"/>
        <v>4.8301047781017496E-5</v>
      </c>
      <c r="U23" s="24">
        <f t="shared" si="7"/>
        <v>1.642235624554595E-5</v>
      </c>
      <c r="V23" s="24">
        <f t="shared" si="10"/>
        <v>2.9002338437061292E-5</v>
      </c>
      <c r="W23" s="25">
        <f t="shared" si="8"/>
        <v>1.305105229667758E-6</v>
      </c>
      <c r="X23" s="24">
        <f t="shared" si="18"/>
        <v>9.6602095562035E-7</v>
      </c>
      <c r="Y23" s="37">
        <v>48.7793371874385</v>
      </c>
      <c r="Z23" s="74">
        <f t="shared" si="11"/>
        <v>84047.93563348557</v>
      </c>
      <c r="AA23" s="22">
        <f t="shared" si="12"/>
        <v>0.036397101846954785</v>
      </c>
      <c r="AB23" s="22">
        <f t="shared" si="13"/>
        <v>9.099275461738696E-4</v>
      </c>
      <c r="AC23" s="22">
        <f t="shared" si="14"/>
        <v>0.0025471698113207547</v>
      </c>
      <c r="AD23" s="80">
        <f t="shared" si="15"/>
        <v>0.014195626604459024</v>
      </c>
      <c r="AE23" s="72"/>
    </row>
    <row r="24" spans="1:31" s="6" customFormat="1" ht="16.15" customHeight="1">
      <c r="A24" s="18" t="s">
        <v>255</v>
      </c>
      <c r="B24" s="32">
        <v>20</v>
      </c>
      <c r="C24" s="33" t="s">
        <v>255</v>
      </c>
      <c r="D24" s="23">
        <v>4497</v>
      </c>
      <c r="E24" s="30">
        <f t="shared" si="0"/>
        <v>0.001937612079462346</v>
      </c>
      <c r="F24" s="30">
        <f t="shared" si="1"/>
        <v>0.0012400717308559015</v>
      </c>
      <c r="G24" s="27">
        <v>432755.16</v>
      </c>
      <c r="H24" s="27">
        <v>296476.83</v>
      </c>
      <c r="I24" s="26">
        <f t="shared" si="2"/>
        <v>729231.99</v>
      </c>
      <c r="J24" s="29">
        <f t="shared" si="16"/>
        <v>5.825548452880265E-4</v>
      </c>
      <c r="K24" s="29">
        <f t="shared" si="3"/>
        <v>1.9224309894504875E-4</v>
      </c>
      <c r="L24" s="27">
        <v>492564.66</v>
      </c>
      <c r="M24" s="27">
        <v>357216</v>
      </c>
      <c r="N24" s="26">
        <f t="shared" si="4"/>
        <v>849780.6599999999</v>
      </c>
      <c r="O24" s="21">
        <f t="shared" si="17"/>
        <v>5.219725747027628E-4</v>
      </c>
      <c r="P24" s="28">
        <f t="shared" si="9"/>
        <v>1.7225094965191173E-4</v>
      </c>
      <c r="Q24" s="27">
        <v>442641.14</v>
      </c>
      <c r="R24" s="27">
        <v>198803</v>
      </c>
      <c r="S24" s="26">
        <f t="shared" si="5"/>
        <v>641444.14</v>
      </c>
      <c r="T24" s="24">
        <f t="shared" si="6"/>
        <v>3.331300165045985E-4</v>
      </c>
      <c r="U24" s="24">
        <f t="shared" si="7"/>
        <v>1.1326420561156349E-4</v>
      </c>
      <c r="V24" s="24">
        <f t="shared" si="10"/>
        <v>4.7775825420852397E-4</v>
      </c>
      <c r="W24" s="25">
        <f t="shared" si="8"/>
        <v>2.149912143938358E-5</v>
      </c>
      <c r="X24" s="24">
        <f t="shared" si="18"/>
        <v>6.66260033009197E-6</v>
      </c>
      <c r="Y24" s="37">
        <v>55.6889639392364</v>
      </c>
      <c r="Z24" s="74">
        <f t="shared" si="11"/>
        <v>5183.632766460962</v>
      </c>
      <c r="AA24" s="22">
        <f t="shared" si="12"/>
        <v>0.0022447810087904627</v>
      </c>
      <c r="AB24" s="22">
        <f t="shared" si="13"/>
        <v>5.611952521976157E-5</v>
      </c>
      <c r="AC24" s="22">
        <f t="shared" si="14"/>
        <v>0.0025471698113207547</v>
      </c>
      <c r="AD24" s="80">
        <f t="shared" si="15"/>
        <v>0.0038715227891658937</v>
      </c>
      <c r="AE24" s="72"/>
    </row>
    <row r="25" spans="1:31" s="6" customFormat="1" ht="16.15" customHeight="1">
      <c r="A25" s="18" t="s">
        <v>348</v>
      </c>
      <c r="B25" s="32">
        <v>21</v>
      </c>
      <c r="C25" s="31" t="s">
        <v>256</v>
      </c>
      <c r="D25" s="23">
        <v>9406</v>
      </c>
      <c r="E25" s="30">
        <f t="shared" si="0"/>
        <v>0.004052741654307945</v>
      </c>
      <c r="F25" s="30">
        <f t="shared" si="1"/>
        <v>0.0025937546587570847</v>
      </c>
      <c r="G25" s="27">
        <v>37901.8</v>
      </c>
      <c r="H25" s="27">
        <v>4460</v>
      </c>
      <c r="I25" s="26">
        <f t="shared" si="2"/>
        <v>42361.80</v>
      </c>
      <c r="J25" s="29">
        <f t="shared" si="16"/>
        <v>3.384118111044789E-5</v>
      </c>
      <c r="K25" s="29">
        <f t="shared" si="3"/>
        <v>1.1167589766447804E-5</v>
      </c>
      <c r="L25" s="27">
        <v>105824</v>
      </c>
      <c r="M25" s="27">
        <v>26340</v>
      </c>
      <c r="N25" s="26">
        <f t="shared" si="4"/>
        <v>132164</v>
      </c>
      <c r="O25" s="21">
        <f t="shared" si="17"/>
        <v>8.118092892701977E-5</v>
      </c>
      <c r="P25" s="28">
        <f t="shared" si="9"/>
        <v>2.6789706545916524E-5</v>
      </c>
      <c r="Q25" s="27">
        <v>79070</v>
      </c>
      <c r="R25" s="27">
        <v>44810</v>
      </c>
      <c r="S25" s="26">
        <f t="shared" si="5"/>
        <v>123880</v>
      </c>
      <c r="T25" s="24">
        <f t="shared" si="6"/>
        <v>6.433630595579166E-5</v>
      </c>
      <c r="U25" s="24">
        <f t="shared" si="7"/>
        <v>2.1874344024969164E-5</v>
      </c>
      <c r="V25" s="24">
        <f t="shared" si="10"/>
        <v>5.9831640337333495E-5</v>
      </c>
      <c r="W25" s="25">
        <f t="shared" si="8"/>
        <v>2.692423815180007E-6</v>
      </c>
      <c r="X25" s="24">
        <f t="shared" si="18"/>
        <v>1.2867261191158331E-6</v>
      </c>
      <c r="Y25" s="37">
        <v>50.1713292322921</v>
      </c>
      <c r="Z25" s="74">
        <f t="shared" si="11"/>
        <v>18398.648286298398</v>
      </c>
      <c r="AA25" s="22">
        <f t="shared" si="12"/>
        <v>0.00796756601426751</v>
      </c>
      <c r="AB25" s="22">
        <f t="shared" si="13"/>
        <v>1.9918915035668775E-4</v>
      </c>
      <c r="AC25" s="22">
        <f t="shared" si="14"/>
        <v>0.0025471698113207547</v>
      </c>
      <c r="AD25" s="80">
        <f t="shared" si="15"/>
        <v>0.0053440927703688225</v>
      </c>
      <c r="AE25" s="72"/>
    </row>
    <row r="26" spans="1:31" s="6" customFormat="1" ht="16.15" customHeight="1">
      <c r="A26" s="18" t="s">
        <v>257</v>
      </c>
      <c r="B26" s="32">
        <v>22</v>
      </c>
      <c r="C26" s="31" t="s">
        <v>257</v>
      </c>
      <c r="D26" s="23">
        <v>4363</v>
      </c>
      <c r="E26" s="30">
        <f t="shared" si="0"/>
        <v>0.001879875806692065</v>
      </c>
      <c r="F26" s="30">
        <f t="shared" si="1"/>
        <v>0.0012031205162829216</v>
      </c>
      <c r="G26" s="27">
        <v>496</v>
      </c>
      <c r="H26" s="27">
        <v>0</v>
      </c>
      <c r="I26" s="26">
        <f t="shared" si="2"/>
        <v>496</v>
      </c>
      <c r="J26" s="29">
        <f t="shared" si="16"/>
        <v>3.9623495297135987E-7</v>
      </c>
      <c r="K26" s="29">
        <f t="shared" si="3"/>
        <v>1.3075753448054875E-7</v>
      </c>
      <c r="L26" s="27">
        <v>0</v>
      </c>
      <c r="M26" s="27">
        <v>0</v>
      </c>
      <c r="N26" s="26">
        <f t="shared" si="4"/>
        <v>0</v>
      </c>
      <c r="O26" s="21">
        <f t="shared" si="17"/>
        <v>0</v>
      </c>
      <c r="P26" s="28">
        <f t="shared" si="9"/>
        <v>0</v>
      </c>
      <c r="Q26" s="27">
        <v>0</v>
      </c>
      <c r="R26" s="27">
        <v>0</v>
      </c>
      <c r="S26" s="26">
        <f t="shared" si="5"/>
        <v>0</v>
      </c>
      <c r="T26" s="24">
        <f t="shared" si="6"/>
        <v>0</v>
      </c>
      <c r="U26" s="24">
        <f t="shared" si="7"/>
        <v>0</v>
      </c>
      <c r="V26" s="24">
        <f t="shared" si="10"/>
        <v>1.3075753448054875E-7</v>
      </c>
      <c r="W26" s="25">
        <f t="shared" si="8"/>
        <v>5.884089051624694E-9</v>
      </c>
      <c r="X26" s="24">
        <f t="shared" si="18"/>
        <v>0</v>
      </c>
      <c r="Y26" s="37">
        <v>49.0889458378362</v>
      </c>
      <c r="Z26" s="74">
        <f t="shared" si="11"/>
        <v>9221.852707466202</v>
      </c>
      <c r="AA26" s="22">
        <f t="shared" si="12"/>
        <v>0.003993539040327567</v>
      </c>
      <c r="AB26" s="22">
        <f t="shared" si="13"/>
        <v>9.983847600818918E-5</v>
      </c>
      <c r="AC26" s="22">
        <f t="shared" si="14"/>
        <v>0.0025471698113207547</v>
      </c>
      <c r="AD26" s="80">
        <f t="shared" si="15"/>
        <v>0.003850134687700917</v>
      </c>
      <c r="AE26" s="72"/>
    </row>
    <row r="27" spans="1:31" s="6" customFormat="1" ht="16.15" customHeight="1">
      <c r="A27" s="18" t="s">
        <v>349</v>
      </c>
      <c r="B27" s="32">
        <v>23</v>
      </c>
      <c r="C27" s="31" t="s">
        <v>258</v>
      </c>
      <c r="D27" s="23">
        <v>4863</v>
      </c>
      <c r="E27" s="30">
        <f t="shared" si="0"/>
        <v>0.002095309660312517</v>
      </c>
      <c r="F27" s="30">
        <f t="shared" si="1"/>
        <v>0.0013409981826000108</v>
      </c>
      <c r="G27" s="27">
        <v>59091.25</v>
      </c>
      <c r="H27" s="27">
        <v>3735</v>
      </c>
      <c r="I27" s="26">
        <f t="shared" si="2"/>
        <v>62826.25</v>
      </c>
      <c r="J27" s="29">
        <f t="shared" si="16"/>
        <v>5.0189427851042135E-5</v>
      </c>
      <c r="K27" s="29">
        <f t="shared" si="3"/>
        <v>1.6562511190843905E-5</v>
      </c>
      <c r="L27" s="27">
        <v>175307.66</v>
      </c>
      <c r="M27" s="27">
        <v>31122</v>
      </c>
      <c r="N27" s="26">
        <f t="shared" si="4"/>
        <v>206429.66</v>
      </c>
      <c r="O27" s="21">
        <f t="shared" si="17"/>
        <v>1.2679815650925257E-4</v>
      </c>
      <c r="P27" s="28">
        <f t="shared" si="9"/>
        <v>4.184339164805335E-5</v>
      </c>
      <c r="Q27" s="27">
        <v>224396.58</v>
      </c>
      <c r="R27" s="27">
        <v>22450</v>
      </c>
      <c r="S27" s="26">
        <f t="shared" si="5"/>
        <v>246846.58</v>
      </c>
      <c r="T27" s="24">
        <f t="shared" si="6"/>
        <v>1.2819823292719407E-4</v>
      </c>
      <c r="U27" s="24">
        <f t="shared" si="7"/>
        <v>4.3587399195245986E-5</v>
      </c>
      <c r="V27" s="24">
        <f t="shared" si="10"/>
        <v>1.0199330203414323E-4</v>
      </c>
      <c r="W27" s="25">
        <f t="shared" si="8"/>
        <v>4.589698591536445E-6</v>
      </c>
      <c r="X27" s="24">
        <f t="shared" si="18"/>
        <v>2.5639646585438814E-6</v>
      </c>
      <c r="Y27" s="37">
        <v>54.8270678530427</v>
      </c>
      <c r="Z27" s="74">
        <f t="shared" si="11"/>
        <v>6215.784090863124</v>
      </c>
      <c r="AA27" s="22">
        <f t="shared" si="12"/>
        <v>0.0026917558998759204</v>
      </c>
      <c r="AB27" s="22">
        <f t="shared" si="13"/>
        <v>6.729389749689802E-5</v>
      </c>
      <c r="AC27" s="22">
        <f t="shared" si="14"/>
        <v>0.0025471698113207547</v>
      </c>
      <c r="AD27" s="80">
        <f t="shared" si="15"/>
        <v>0.003962615554667744</v>
      </c>
      <c r="AE27" s="72"/>
    </row>
    <row r="28" spans="1:31" s="6" customFormat="1" ht="16.15" customHeight="1">
      <c r="A28" s="18" t="s">
        <v>259</v>
      </c>
      <c r="B28" s="32">
        <v>24</v>
      </c>
      <c r="C28" s="31" t="s">
        <v>259</v>
      </c>
      <c r="D28" s="23">
        <v>3244</v>
      </c>
      <c r="E28" s="30">
        <f t="shared" si="0"/>
        <v>0.001397734842289493</v>
      </c>
      <c r="F28" s="30">
        <f t="shared" si="1"/>
        <v>8.945502990652755E-4</v>
      </c>
      <c r="G28" s="27">
        <v>3900</v>
      </c>
      <c r="H28" s="27">
        <v>0</v>
      </c>
      <c r="I28" s="26">
        <f t="shared" si="2"/>
        <v>3900</v>
      </c>
      <c r="J28" s="29">
        <f t="shared" si="16"/>
        <v>3.1155570898957733E-6</v>
      </c>
      <c r="K28" s="29">
        <f t="shared" si="3"/>
        <v>1.0281338396656053E-6</v>
      </c>
      <c r="L28" s="27">
        <v>0</v>
      </c>
      <c r="M28" s="27">
        <v>0</v>
      </c>
      <c r="N28" s="26">
        <f t="shared" si="4"/>
        <v>0</v>
      </c>
      <c r="O28" s="21">
        <f t="shared" si="17"/>
        <v>0</v>
      </c>
      <c r="P28" s="28">
        <f t="shared" si="9"/>
        <v>0</v>
      </c>
      <c r="Q28" s="27">
        <v>0</v>
      </c>
      <c r="R28" s="27">
        <v>0</v>
      </c>
      <c r="S28" s="26">
        <f t="shared" si="5"/>
        <v>0</v>
      </c>
      <c r="T28" s="24">
        <f t="shared" si="6"/>
        <v>0</v>
      </c>
      <c r="U28" s="24">
        <f t="shared" si="7"/>
        <v>0</v>
      </c>
      <c r="V28" s="24">
        <f t="shared" si="10"/>
        <v>1.0281338396656053E-6</v>
      </c>
      <c r="W28" s="25">
        <f t="shared" si="8"/>
        <v>4.6266022784952234E-8</v>
      </c>
      <c r="X28" s="24">
        <f t="shared" si="18"/>
        <v>0</v>
      </c>
      <c r="Y28" s="37">
        <v>51.2264456097306</v>
      </c>
      <c r="Z28" s="74">
        <f t="shared" si="11"/>
        <v>5847.081360360137</v>
      </c>
      <c r="AA28" s="22">
        <f t="shared" si="12"/>
        <v>0.0025320885537094668</v>
      </c>
      <c r="AB28" s="22">
        <f t="shared" si="13"/>
        <v>6.330221384273667E-5</v>
      </c>
      <c r="AC28" s="22">
        <f t="shared" si="14"/>
        <v>0.0025471698113207547</v>
      </c>
      <c r="AD28" s="80">
        <f t="shared" si="15"/>
        <v>0.0035050685902515517</v>
      </c>
      <c r="AE28" s="72"/>
    </row>
    <row r="29" spans="1:31" s="6" customFormat="1" ht="16.15" customHeight="1">
      <c r="A29" s="18" t="s">
        <v>260</v>
      </c>
      <c r="B29" s="32">
        <v>25</v>
      </c>
      <c r="C29" s="31" t="s">
        <v>260</v>
      </c>
      <c r="D29" s="23">
        <v>6003</v>
      </c>
      <c r="E29" s="30">
        <f t="shared" si="0"/>
        <v>0.0025864988465671476</v>
      </c>
      <c r="F29" s="30">
        <f t="shared" si="1"/>
        <v>0.0016553592618029744</v>
      </c>
      <c r="G29" s="27">
        <v>10850.04</v>
      </c>
      <c r="H29" s="27">
        <v>2760</v>
      </c>
      <c r="I29" s="26">
        <f t="shared" si="2"/>
        <v>13610.04</v>
      </c>
      <c r="J29" s="29">
        <f t="shared" si="16"/>
        <v>1.087252733737566E-5</v>
      </c>
      <c r="K29" s="29">
        <f t="shared" si="3"/>
        <v>3.5879340213339678E-6</v>
      </c>
      <c r="L29" s="27">
        <v>14875</v>
      </c>
      <c r="M29" s="27">
        <v>16040</v>
      </c>
      <c r="N29" s="26">
        <f t="shared" si="4"/>
        <v>30915</v>
      </c>
      <c r="O29" s="21">
        <f t="shared" si="17"/>
        <v>1.8989349730477407E-5</v>
      </c>
      <c r="P29" s="28">
        <f t="shared" si="9"/>
        <v>6.266485411057545E-6</v>
      </c>
      <c r="Q29" s="27">
        <v>2260</v>
      </c>
      <c r="R29" s="27">
        <v>0</v>
      </c>
      <c r="S29" s="26">
        <f t="shared" si="5"/>
        <v>2260</v>
      </c>
      <c r="T29" s="24">
        <f t="shared" si="6"/>
        <v>1.1737169152412751E-6</v>
      </c>
      <c r="U29" s="24">
        <f t="shared" si="7"/>
        <v>3.990637511820336E-7</v>
      </c>
      <c r="V29" s="24">
        <f t="shared" si="10"/>
        <v>1.0253483183573545E-5</v>
      </c>
      <c r="W29" s="25">
        <f t="shared" si="8"/>
        <v>4.6140674326080954E-7</v>
      </c>
      <c r="X29" s="24">
        <f t="shared" si="18"/>
        <v>2.3474338304825503E-8</v>
      </c>
      <c r="Y29" s="37">
        <v>54.9583229625714</v>
      </c>
      <c r="Z29" s="74">
        <f t="shared" si="11"/>
        <v>7558.186264427564</v>
      </c>
      <c r="AA29" s="22">
        <f t="shared" si="12"/>
        <v>0.003273085450239466</v>
      </c>
      <c r="AB29" s="22">
        <f t="shared" si="13"/>
        <v>8.182713625598666E-5</v>
      </c>
      <c r="AC29" s="22">
        <f t="shared" si="14"/>
        <v>0.0025471698113207547</v>
      </c>
      <c r="AD29" s="80">
        <f t="shared" si="15"/>
        <v>0.004284841090461282</v>
      </c>
      <c r="AE29" s="72"/>
    </row>
    <row r="30" spans="1:31" s="6" customFormat="1" ht="16.15" customHeight="1">
      <c r="A30" s="18" t="s">
        <v>261</v>
      </c>
      <c r="B30" s="32">
        <v>26</v>
      </c>
      <c r="C30" s="33" t="s">
        <v>261</v>
      </c>
      <c r="D30" s="23">
        <v>3622</v>
      </c>
      <c r="E30" s="30">
        <f t="shared" si="0"/>
        <v>0.0015606028356265548</v>
      </c>
      <c r="F30" s="30">
        <f t="shared" si="1"/>
        <v>9.987858148009952E-4</v>
      </c>
      <c r="G30" s="27">
        <v>4932175.89</v>
      </c>
      <c r="H30" s="27">
        <v>0</v>
      </c>
      <c r="I30" s="26">
        <f t="shared" si="2"/>
        <v>4932175.89</v>
      </c>
      <c r="J30" s="29">
        <f t="shared" si="16"/>
        <v>0.0039401219391544855</v>
      </c>
      <c r="K30" s="29">
        <f t="shared" si="3"/>
        <v>0.0013002402399209803</v>
      </c>
      <c r="L30" s="27">
        <v>1.042415526E7</v>
      </c>
      <c r="M30" s="27">
        <v>0</v>
      </c>
      <c r="N30" s="26">
        <f t="shared" si="4"/>
        <v>1.042415526E7</v>
      </c>
      <c r="O30" s="21">
        <f t="shared" si="17"/>
        <v>0.006402973633412119</v>
      </c>
      <c r="P30" s="28">
        <f t="shared" si="9"/>
        <v>0.002112981299025999</v>
      </c>
      <c r="Q30" s="27">
        <v>1.548107019E7</v>
      </c>
      <c r="R30" s="27">
        <v>0</v>
      </c>
      <c r="S30" s="26">
        <f t="shared" si="5"/>
        <v>1.548107019E7</v>
      </c>
      <c r="T30" s="24">
        <f t="shared" si="6"/>
        <v>0.008039997322141796</v>
      </c>
      <c r="U30" s="24">
        <f t="shared" si="7"/>
        <v>0.002733599089528211</v>
      </c>
      <c r="V30" s="24">
        <f t="shared" si="10"/>
        <v>0.00614682062847519</v>
      </c>
      <c r="W30" s="25">
        <f t="shared" si="8"/>
        <v>2.7660692828138355E-4</v>
      </c>
      <c r="X30" s="24">
        <f t="shared" si="18"/>
        <v>1.6079994644283593E-4</v>
      </c>
      <c r="Y30" s="37">
        <v>55.0888696794745</v>
      </c>
      <c r="Z30" s="74">
        <f t="shared" si="11"/>
        <v>4491.499401449349</v>
      </c>
      <c r="AA30" s="22">
        <f t="shared" si="12"/>
        <v>0.001945051474827149</v>
      </c>
      <c r="AB30" s="22">
        <f t="shared" si="13"/>
        <v>4.8626286870678726E-5</v>
      </c>
      <c r="AC30" s="22">
        <f t="shared" si="14"/>
        <v>0.0025471698113207547</v>
      </c>
      <c r="AD30" s="80">
        <f t="shared" si="15"/>
        <v>0.004031988787716648</v>
      </c>
      <c r="AE30" s="72"/>
    </row>
    <row r="31" spans="1:31" s="6" customFormat="1" ht="16.15" customHeight="1">
      <c r="A31" s="18" t="s">
        <v>350</v>
      </c>
      <c r="B31" s="32">
        <v>27</v>
      </c>
      <c r="C31" s="31" t="s">
        <v>262</v>
      </c>
      <c r="D31" s="23">
        <v>8345</v>
      </c>
      <c r="E31" s="30">
        <f t="shared" si="0"/>
        <v>0.0035955910169253452</v>
      </c>
      <c r="F31" s="30">
        <f t="shared" si="1"/>
        <v>0.002301178250832221</v>
      </c>
      <c r="G31" s="27">
        <v>1365392.40</v>
      </c>
      <c r="H31" s="27">
        <v>19050</v>
      </c>
      <c r="I31" s="26">
        <f t="shared" si="2"/>
        <v>1384442.40</v>
      </c>
      <c r="J31" s="29">
        <f t="shared" si="16"/>
        <v>0.001105976752531364</v>
      </c>
      <c r="K31" s="29">
        <f t="shared" si="3"/>
        <v>3.6497232833535015E-4</v>
      </c>
      <c r="L31" s="27">
        <v>935822.62</v>
      </c>
      <c r="M31" s="27">
        <v>20060</v>
      </c>
      <c r="N31" s="26">
        <f t="shared" si="4"/>
        <v>955882.62</v>
      </c>
      <c r="O31" s="21">
        <f t="shared" si="17"/>
        <v>5.871450549074895E-4</v>
      </c>
      <c r="P31" s="28">
        <f t="shared" si="9"/>
        <v>1.9375786811947157E-4</v>
      </c>
      <c r="Q31" s="27">
        <v>1221852.23</v>
      </c>
      <c r="R31" s="27">
        <v>8649.92</v>
      </c>
      <c r="S31" s="26">
        <f t="shared" si="5"/>
        <v>1230502.15</v>
      </c>
      <c r="T31" s="24">
        <f t="shared" si="6"/>
        <v>6.390536228742286E-4</v>
      </c>
      <c r="U31" s="24">
        <f t="shared" si="7"/>
        <v>2.1727823177723776E-4</v>
      </c>
      <c r="V31" s="24">
        <f t="shared" si="10"/>
        <v>7.760084282320595E-4</v>
      </c>
      <c r="W31" s="25">
        <f t="shared" si="8"/>
        <v>3.492037927044268E-5</v>
      </c>
      <c r="X31" s="24">
        <f t="shared" si="18"/>
        <v>1.2781072457484574E-5</v>
      </c>
      <c r="Y31" s="37">
        <v>56.7109714416638</v>
      </c>
      <c r="Z31" s="74">
        <f t="shared" si="11"/>
        <v>8377.399947292342</v>
      </c>
      <c r="AA31" s="22">
        <f t="shared" si="12"/>
        <v>0.0036278473325499798</v>
      </c>
      <c r="AB31" s="22">
        <f t="shared" si="13"/>
        <v>9.06961833137495E-5</v>
      </c>
      <c r="AC31" s="22">
        <f t="shared" si="14"/>
        <v>0.0025471698113207547</v>
      </c>
      <c r="AD31" s="80">
        <f t="shared" si="15"/>
        <v>0.004986745697194652</v>
      </c>
      <c r="AE31" s="72"/>
    </row>
    <row r="32" spans="1:31" s="6" customFormat="1" ht="16.15" customHeight="1">
      <c r="A32" s="18" t="s">
        <v>263</v>
      </c>
      <c r="B32" s="32">
        <v>28</v>
      </c>
      <c r="C32" s="31" t="s">
        <v>263</v>
      </c>
      <c r="D32" s="23">
        <v>2936</v>
      </c>
      <c r="E32" s="30">
        <f t="shared" si="0"/>
        <v>0.0012650275884592947</v>
      </c>
      <c r="F32" s="30">
        <f t="shared" si="1"/>
        <v>8.096176566139486E-4</v>
      </c>
      <c r="G32" s="27">
        <v>0</v>
      </c>
      <c r="H32" s="27">
        <v>5885.50</v>
      </c>
      <c r="I32" s="26">
        <f t="shared" si="2"/>
        <v>5885.50</v>
      </c>
      <c r="J32" s="29">
        <f t="shared" si="16"/>
        <v>4.701695192969634E-6</v>
      </c>
      <c r="K32" s="29">
        <f t="shared" si="3"/>
        <v>1.5515594136799794E-6</v>
      </c>
      <c r="L32" s="27">
        <v>441744.70</v>
      </c>
      <c r="M32" s="27">
        <v>12647</v>
      </c>
      <c r="N32" s="26">
        <f t="shared" si="4"/>
        <v>454391.70</v>
      </c>
      <c r="O32" s="21">
        <f t="shared" si="17"/>
        <v>2.79107323497531E-4</v>
      </c>
      <c r="P32" s="28">
        <f t="shared" si="9"/>
        <v>9.210541675418524E-5</v>
      </c>
      <c r="Q32" s="27">
        <v>15486</v>
      </c>
      <c r="R32" s="27">
        <v>0</v>
      </c>
      <c r="S32" s="26">
        <f t="shared" si="5"/>
        <v>15486</v>
      </c>
      <c r="T32" s="24">
        <f t="shared" si="6"/>
        <v>8.042557588241763E-6</v>
      </c>
      <c r="U32" s="24">
        <f t="shared" si="7"/>
        <v>2.7344695800021998E-6</v>
      </c>
      <c r="V32" s="24">
        <f t="shared" si="10"/>
        <v>9.639144574786742E-5</v>
      </c>
      <c r="W32" s="25">
        <f t="shared" si="8"/>
        <v>4.337615058654034E-6</v>
      </c>
      <c r="X32" s="24">
        <f t="shared" si="18"/>
        <v>1.6085115176483526E-7</v>
      </c>
      <c r="Y32" s="37">
        <v>54.9039494576125</v>
      </c>
      <c r="Z32" s="74">
        <f t="shared" si="11"/>
        <v>3719.867839540674</v>
      </c>
      <c r="AA32" s="22">
        <f t="shared" si="12"/>
        <v>0.0016108951111350298</v>
      </c>
      <c r="AB32" s="22">
        <f t="shared" si="13"/>
        <v>4.0272377778375744E-5</v>
      </c>
      <c r="AC32" s="22">
        <f t="shared" si="14"/>
        <v>0.0025471698113207547</v>
      </c>
      <c r="AD32" s="80">
        <f t="shared" si="15"/>
        <v>0.003401558311923498</v>
      </c>
      <c r="AE32" s="72"/>
    </row>
    <row r="33" spans="1:31" s="6" customFormat="1" ht="16.15" customHeight="1">
      <c r="A33" s="18" t="s">
        <v>351</v>
      </c>
      <c r="B33" s="32">
        <v>29</v>
      </c>
      <c r="C33" s="31" t="s">
        <v>264</v>
      </c>
      <c r="D33" s="23">
        <v>6240</v>
      </c>
      <c r="E33" s="30">
        <f t="shared" si="0"/>
        <v>0.002688614493183242</v>
      </c>
      <c r="F33" s="30">
        <f t="shared" si="1"/>
        <v>0.0017207132756372747</v>
      </c>
      <c r="G33" s="27">
        <v>0</v>
      </c>
      <c r="H33" s="27">
        <v>0</v>
      </c>
      <c r="I33" s="26">
        <f t="shared" si="2"/>
        <v>0</v>
      </c>
      <c r="J33" s="29">
        <f t="shared" si="16"/>
        <v>0</v>
      </c>
      <c r="K33" s="29">
        <f t="shared" si="3"/>
        <v>0</v>
      </c>
      <c r="L33" s="27">
        <v>0</v>
      </c>
      <c r="M33" s="27">
        <v>0</v>
      </c>
      <c r="N33" s="26">
        <f t="shared" si="4"/>
        <v>0</v>
      </c>
      <c r="O33" s="21">
        <f t="shared" si="17"/>
        <v>0</v>
      </c>
      <c r="P33" s="28">
        <f t="shared" si="9"/>
        <v>0</v>
      </c>
      <c r="Q33" s="27">
        <v>6950</v>
      </c>
      <c r="R33" s="27">
        <v>0</v>
      </c>
      <c r="S33" s="26">
        <f t="shared" si="5"/>
        <v>6950</v>
      </c>
      <c r="T33" s="24">
        <f t="shared" si="6"/>
        <v>3.6094391862508236E-6</v>
      </c>
      <c r="U33" s="24">
        <f t="shared" si="7"/>
        <v>1.22720932332528E-6</v>
      </c>
      <c r="V33" s="24">
        <f t="shared" si="10"/>
        <v>1.22720932332528E-6</v>
      </c>
      <c r="W33" s="25">
        <f t="shared" si="8"/>
        <v>5.52244195496376E-8</v>
      </c>
      <c r="X33" s="24">
        <f t="shared" si="18"/>
        <v>7.218878372501647E-8</v>
      </c>
      <c r="Y33" s="37">
        <v>55.4621829769392</v>
      </c>
      <c r="Z33" s="74">
        <f t="shared" si="11"/>
        <v>7398.806429399749</v>
      </c>
      <c r="AA33" s="22">
        <f t="shared" si="12"/>
        <v>0.0032040657409017495</v>
      </c>
      <c r="AB33" s="22">
        <f t="shared" si="13"/>
        <v>8.010164352254375E-5</v>
      </c>
      <c r="AC33" s="22">
        <f t="shared" si="14"/>
        <v>0.0025471698113207547</v>
      </c>
      <c r="AD33" s="80">
        <f t="shared" si="15"/>
        <v>0.004348112143683848</v>
      </c>
      <c r="AE33" s="72"/>
    </row>
    <row r="34" spans="1:31" s="6" customFormat="1" ht="16.15" customHeight="1">
      <c r="A34" s="18" t="s">
        <v>352</v>
      </c>
      <c r="B34" s="32">
        <v>30</v>
      </c>
      <c r="C34" s="31" t="s">
        <v>265</v>
      </c>
      <c r="D34" s="23">
        <v>4015</v>
      </c>
      <c r="E34" s="30">
        <f t="shared" si="0"/>
        <v>0.0017299338445722302</v>
      </c>
      <c r="F34" s="30">
        <f t="shared" si="1"/>
        <v>0.0011071576605262274</v>
      </c>
      <c r="G34" s="27">
        <v>3000</v>
      </c>
      <c r="H34" s="27">
        <v>1230</v>
      </c>
      <c r="I34" s="26">
        <f t="shared" si="2"/>
        <v>4230</v>
      </c>
      <c r="J34" s="29">
        <f t="shared" si="16"/>
        <v>3.3791811513484923E-6</v>
      </c>
      <c r="K34" s="29">
        <f t="shared" si="3"/>
        <v>1.1151297799450025E-6</v>
      </c>
      <c r="L34" s="27">
        <v>34205</v>
      </c>
      <c r="M34" s="27">
        <v>7430</v>
      </c>
      <c r="N34" s="26">
        <f t="shared" si="4"/>
        <v>41635</v>
      </c>
      <c r="O34" s="21">
        <f t="shared" si="17"/>
        <v>2.5574044186589906E-5</v>
      </c>
      <c r="P34" s="28">
        <f t="shared" si="9"/>
        <v>8.439434581574669E-6</v>
      </c>
      <c r="Q34" s="27">
        <v>53238</v>
      </c>
      <c r="R34" s="27">
        <v>9010</v>
      </c>
      <c r="S34" s="26">
        <f t="shared" si="5"/>
        <v>62248</v>
      </c>
      <c r="T34" s="24">
        <f t="shared" si="6"/>
        <v>3.232811085838004E-5</v>
      </c>
      <c r="U34" s="24">
        <f t="shared" si="7"/>
        <v>1.0991557691849214E-5</v>
      </c>
      <c r="V34" s="24">
        <f t="shared" si="10"/>
        <v>2.0546122053368886E-5</v>
      </c>
      <c r="W34" s="25">
        <f t="shared" si="8"/>
        <v>9.245754924015999E-7</v>
      </c>
      <c r="X34" s="24">
        <f t="shared" si="18"/>
        <v>6.465622171676008E-7</v>
      </c>
      <c r="Y34" s="37">
        <v>49.2620186668522</v>
      </c>
      <c r="Z34" s="74">
        <f t="shared" si="11"/>
        <v>8385.127079656872</v>
      </c>
      <c r="AA34" s="22">
        <f t="shared" si="12"/>
        <v>0.0036311935803969597</v>
      </c>
      <c r="AB34" s="22">
        <f t="shared" si="13"/>
        <v>9.0779839509924E-5</v>
      </c>
      <c r="AC34" s="22">
        <f t="shared" si="14"/>
        <v>0.0025471698113207547</v>
      </c>
      <c r="AD34" s="80">
        <f t="shared" si="15"/>
        <v>0.0037466784490664752</v>
      </c>
      <c r="AE34" s="72"/>
    </row>
    <row r="35" spans="1:31" s="6" customFormat="1" ht="16.15" customHeight="1">
      <c r="A35" s="18" t="s">
        <v>266</v>
      </c>
      <c r="B35" s="32">
        <v>31</v>
      </c>
      <c r="C35" s="33" t="s">
        <v>266</v>
      </c>
      <c r="D35" s="23">
        <v>2818</v>
      </c>
      <c r="E35" s="30">
        <f t="shared" si="0"/>
        <v>0.001214185199004868</v>
      </c>
      <c r="F35" s="30">
        <f t="shared" si="1"/>
        <v>7.770785273631155E-4</v>
      </c>
      <c r="G35" s="27">
        <v>12800</v>
      </c>
      <c r="H35" s="27">
        <v>0</v>
      </c>
      <c r="I35" s="26">
        <f t="shared" si="2"/>
        <v>12800</v>
      </c>
      <c r="J35" s="29">
        <f t="shared" si="16"/>
        <v>1.0225418141196384E-5</v>
      </c>
      <c r="K35" s="29">
        <f t="shared" si="3"/>
        <v>3.374387986594807E-6</v>
      </c>
      <c r="L35" s="27">
        <v>15730</v>
      </c>
      <c r="M35" s="27">
        <v>0</v>
      </c>
      <c r="N35" s="26">
        <f t="shared" si="4"/>
        <v>15730</v>
      </c>
      <c r="O35" s="21">
        <f t="shared" si="17"/>
        <v>9.662056324127759E-6</v>
      </c>
      <c r="P35" s="28">
        <f t="shared" si="9"/>
        <v>3.1884785869621605E-6</v>
      </c>
      <c r="Q35" s="27">
        <v>13405</v>
      </c>
      <c r="R35" s="27">
        <v>0</v>
      </c>
      <c r="S35" s="26">
        <f t="shared" si="5"/>
        <v>13405</v>
      </c>
      <c r="T35" s="24">
        <f t="shared" si="6"/>
        <v>6.96180320743774E-6</v>
      </c>
      <c r="U35" s="24">
        <f t="shared" si="7"/>
        <v>2.3670130905288317E-6</v>
      </c>
      <c r="V35" s="24">
        <f t="shared" si="10"/>
        <v>8.929879664085799E-6</v>
      </c>
      <c r="W35" s="25">
        <f t="shared" si="8"/>
        <v>4.0184458488386094E-7</v>
      </c>
      <c r="X35" s="24">
        <f t="shared" si="18"/>
        <v>1.392360641487548E-7</v>
      </c>
      <c r="Y35" s="37">
        <v>51.2622940367818</v>
      </c>
      <c r="Z35" s="74">
        <f t="shared" si="11"/>
        <v>5064.537746873194</v>
      </c>
      <c r="AA35" s="22">
        <f t="shared" si="12"/>
        <v>0.002193206707473845</v>
      </c>
      <c r="AB35" s="22">
        <f t="shared" si="13"/>
        <v>5.4830167686846134E-5</v>
      </c>
      <c r="AC35" s="22">
        <f t="shared" si="14"/>
        <v>0.0025471698113207547</v>
      </c>
      <c r="AD35" s="80">
        <f t="shared" si="15"/>
        <v>0.0033796195870197487</v>
      </c>
      <c r="AE35" s="72"/>
    </row>
    <row r="36" spans="1:31" s="6" customFormat="1" ht="16.15" customHeight="1">
      <c r="A36" s="18" t="s">
        <v>267</v>
      </c>
      <c r="B36" s="32">
        <v>32</v>
      </c>
      <c r="C36" s="31" t="s">
        <v>267</v>
      </c>
      <c r="D36" s="23">
        <v>16779</v>
      </c>
      <c r="E36" s="30">
        <f t="shared" si="0"/>
        <v>0.007229529259795131</v>
      </c>
      <c r="F36" s="30">
        <f t="shared" si="1"/>
        <v>0.0046268987262688835</v>
      </c>
      <c r="G36" s="27">
        <v>186130.50</v>
      </c>
      <c r="H36" s="27">
        <v>93836</v>
      </c>
      <c r="I36" s="26">
        <f t="shared" si="2"/>
        <v>279966.50</v>
      </c>
      <c r="J36" s="29">
        <f t="shared" si="16"/>
        <v>2.236542600021295E-4</v>
      </c>
      <c r="K36" s="29">
        <f t="shared" si="3"/>
        <v>7.380590580070274E-5</v>
      </c>
      <c r="L36" s="27">
        <v>5000</v>
      </c>
      <c r="M36" s="27">
        <v>489388</v>
      </c>
      <c r="N36" s="26">
        <f t="shared" si="4"/>
        <v>494388</v>
      </c>
      <c r="O36" s="21">
        <f t="shared" si="17"/>
        <v>3.0367480622840905E-4</v>
      </c>
      <c r="P36" s="28">
        <f t="shared" si="9"/>
        <v>1.00212686055375E-4</v>
      </c>
      <c r="Q36" s="27">
        <v>0</v>
      </c>
      <c r="R36" s="27">
        <v>442463</v>
      </c>
      <c r="S36" s="26">
        <f t="shared" si="5"/>
        <v>442463</v>
      </c>
      <c r="T36" s="24">
        <f t="shared" si="6"/>
        <v>2.297904015346904E-4</v>
      </c>
      <c r="U36" s="24">
        <f t="shared" si="7"/>
        <v>7.812873652179475E-5</v>
      </c>
      <c r="V36" s="24">
        <f t="shared" si="10"/>
        <v>2.5214732837787246E-4</v>
      </c>
      <c r="W36" s="25">
        <f t="shared" si="8"/>
        <v>1.134662977700426E-5</v>
      </c>
      <c r="X36" s="24">
        <f t="shared" si="18"/>
        <v>4.595808030693808E-6</v>
      </c>
      <c r="Y36" s="37">
        <v>52.251815023814</v>
      </c>
      <c r="Z36" s="74">
        <f t="shared" si="11"/>
        <v>27737.964456165846</v>
      </c>
      <c r="AA36" s="22">
        <f t="shared" si="12"/>
        <v>0.012011972807289894</v>
      </c>
      <c r="AB36" s="22">
        <f t="shared" si="13"/>
        <v>3.002993201822474E-4</v>
      </c>
      <c r="AC36" s="22">
        <f t="shared" si="14"/>
        <v>0.0025471698113207547</v>
      </c>
      <c r="AD36" s="80">
        <f t="shared" si="15"/>
        <v>0.007490310295579584</v>
      </c>
      <c r="AE36" s="72"/>
    </row>
    <row r="37" spans="1:31" s="6" customFormat="1" ht="16.15" customHeight="1">
      <c r="A37" s="18" t="s">
        <v>353</v>
      </c>
      <c r="B37" s="32">
        <v>33</v>
      </c>
      <c r="C37" s="31" t="s">
        <v>268</v>
      </c>
      <c r="D37" s="23">
        <v>21255</v>
      </c>
      <c r="E37" s="30">
        <f t="shared" si="19" ref="E37:E68">D37/$D$112</f>
        <v>0.009158093117405418</v>
      </c>
      <c r="F37" s="30">
        <f t="shared" si="20" ref="F37:F68">E37*0.64</f>
        <v>0.0058611795951394674</v>
      </c>
      <c r="G37" s="27">
        <v>91988</v>
      </c>
      <c r="H37" s="27">
        <v>120669</v>
      </c>
      <c r="I37" s="26">
        <f t="shared" si="2"/>
        <v>212657</v>
      </c>
      <c r="J37" s="29">
        <f t="shared" si="16"/>
        <v>1.6988333950409372E-4</v>
      </c>
      <c r="K37" s="29">
        <f t="shared" si="3"/>
        <v>5.606150203635093E-5</v>
      </c>
      <c r="L37" s="27">
        <v>124514</v>
      </c>
      <c r="M37" s="27">
        <v>199661</v>
      </c>
      <c r="N37" s="26">
        <f t="shared" si="4"/>
        <v>324175</v>
      </c>
      <c r="O37" s="21">
        <f t="shared" si="17"/>
        <v>1.991225116893907E-4</v>
      </c>
      <c r="P37" s="28">
        <f t="shared" si="9"/>
        <v>6.571042885749894E-5</v>
      </c>
      <c r="Q37" s="27">
        <v>122691.50</v>
      </c>
      <c r="R37" s="27">
        <v>123583</v>
      </c>
      <c r="S37" s="26">
        <f t="shared" si="21" ref="S37:S68">Q37+R37</f>
        <v>246274.50</v>
      </c>
      <c r="T37" s="24">
        <f t="shared" si="22" ref="T37:T68">S37/$S$112</f>
        <v>1.279011267445077E-4</v>
      </c>
      <c r="U37" s="24">
        <f t="shared" si="23" ref="U37:U68">T37*0.34</f>
        <v>4.348638309313262E-5</v>
      </c>
      <c r="V37" s="24">
        <f t="shared" si="24" ref="V37:V68">K37+P37+U37</f>
        <v>1.652583139869825E-4</v>
      </c>
      <c r="W37" s="25">
        <f t="shared" si="25" ref="W37:W68">V37*0.045</f>
        <v>7.436624129414212E-6</v>
      </c>
      <c r="X37" s="24">
        <f t="shared" si="26" ref="X37:X68">T37*0.02</f>
        <v>2.558022534890154E-6</v>
      </c>
      <c r="Y37" s="37">
        <v>52.1099507305459</v>
      </c>
      <c r="Z37" s="74">
        <f t="shared" si="11"/>
        <v>35576.43139555913</v>
      </c>
      <c r="AA37" s="22">
        <f t="shared" si="12"/>
        <v>0.015406434281765654</v>
      </c>
      <c r="AB37" s="22">
        <f t="shared" si="27" ref="AB37:AB68">AA37*0.025</f>
        <v>3.851608570441414E-4</v>
      </c>
      <c r="AC37" s="22">
        <f t="shared" si="28" ref="AC37:AC68">0.27/106</f>
        <v>0.0025471698113207547</v>
      </c>
      <c r="AD37" s="80">
        <f t="shared" si="29" ref="AD37:AD68">F37+W37+X37+AB37+AC37</f>
        <v>0.008803504910168668</v>
      </c>
      <c r="AE37" s="72"/>
    </row>
    <row r="38" spans="1:31" s="6" customFormat="1" ht="16.15" customHeight="1">
      <c r="A38" s="18" t="s">
        <v>354</v>
      </c>
      <c r="B38" s="32">
        <v>34</v>
      </c>
      <c r="C38" s="31" t="s">
        <v>269</v>
      </c>
      <c r="D38" s="23">
        <v>6514</v>
      </c>
      <c r="E38" s="30">
        <f t="shared" si="19"/>
        <v>0.0028066722449672497</v>
      </c>
      <c r="F38" s="30">
        <f t="shared" si="20"/>
        <v>0.00179627023677904</v>
      </c>
      <c r="G38" s="27">
        <v>21990</v>
      </c>
      <c r="H38" s="27">
        <v>6320</v>
      </c>
      <c r="I38" s="26">
        <f t="shared" si="2"/>
        <v>28310</v>
      </c>
      <c r="J38" s="29">
        <f t="shared" si="16"/>
        <v>2.261574902947419E-5</v>
      </c>
      <c r="K38" s="29">
        <f t="shared" si="3"/>
        <v>7.463197179726483E-6</v>
      </c>
      <c r="L38" s="27">
        <v>12531.24</v>
      </c>
      <c r="M38" s="27">
        <v>2720</v>
      </c>
      <c r="N38" s="26">
        <f t="shared" si="4"/>
        <v>15251.24</v>
      </c>
      <c r="O38" s="21">
        <f t="shared" si="17"/>
        <v>9.367980921347121E-6</v>
      </c>
      <c r="P38" s="28">
        <f t="shared" si="9"/>
        <v>3.09143370404455E-6</v>
      </c>
      <c r="Q38" s="27">
        <v>15420.24</v>
      </c>
      <c r="R38" s="27">
        <v>395</v>
      </c>
      <c r="S38" s="26">
        <f t="shared" si="21"/>
        <v>15815.24</v>
      </c>
      <c r="T38" s="24">
        <f t="shared" si="22"/>
        <v>8.213546330354169E-6</v>
      </c>
      <c r="U38" s="24">
        <f t="shared" si="23"/>
        <v>2.7926057523204176E-6</v>
      </c>
      <c r="V38" s="24">
        <f t="shared" si="24"/>
        <v>1.3347236636091452E-5</v>
      </c>
      <c r="W38" s="25">
        <f t="shared" si="25"/>
        <v>6.006256486241154E-7</v>
      </c>
      <c r="X38" s="24">
        <f t="shared" si="26"/>
        <v>1.6427092660708336E-7</v>
      </c>
      <c r="Y38" s="37">
        <v>50.9666741662071</v>
      </c>
      <c r="Z38" s="74">
        <f t="shared" si="11"/>
        <v>11987.403100481197</v>
      </c>
      <c r="AA38" s="22">
        <f t="shared" si="12"/>
        <v>0.00519116535391604</v>
      </c>
      <c r="AB38" s="22">
        <f t="shared" si="27"/>
        <v>1.29779133847901E-4</v>
      </c>
      <c r="AC38" s="22">
        <f t="shared" si="28"/>
        <v>0.0025471698113207547</v>
      </c>
      <c r="AD38" s="80">
        <f t="shared" si="29"/>
        <v>0.004473984078522927</v>
      </c>
      <c r="AE38" s="72"/>
    </row>
    <row r="39" spans="1:31" s="6" customFormat="1" ht="16.15" customHeight="1">
      <c r="A39" s="18" t="s">
        <v>355</v>
      </c>
      <c r="B39" s="32">
        <v>35</v>
      </c>
      <c r="C39" s="31" t="s">
        <v>270</v>
      </c>
      <c r="D39" s="23">
        <v>6384</v>
      </c>
      <c r="E39" s="30">
        <f t="shared" si="19"/>
        <v>0.0027506594430259323</v>
      </c>
      <c r="F39" s="30">
        <f t="shared" si="20"/>
        <v>0.0017604220435365966</v>
      </c>
      <c r="G39" s="27">
        <v>6715</v>
      </c>
      <c r="H39" s="27">
        <v>3063</v>
      </c>
      <c r="I39" s="26">
        <f t="shared" si="2"/>
        <v>9778</v>
      </c>
      <c r="J39" s="29">
        <f t="shared" si="16"/>
        <v>7.8112608269233E-6</v>
      </c>
      <c r="K39" s="29">
        <f t="shared" si="3"/>
        <v>2.5777160728846892E-6</v>
      </c>
      <c r="L39" s="27">
        <v>54967</v>
      </c>
      <c r="M39" s="27">
        <v>16130</v>
      </c>
      <c r="N39" s="26">
        <f t="shared" si="4"/>
        <v>71097</v>
      </c>
      <c r="O39" s="21">
        <f t="shared" si="17"/>
        <v>4.36708975509543E-5</v>
      </c>
      <c r="P39" s="28">
        <f t="shared" si="9"/>
        <v>1.441139619181492E-5</v>
      </c>
      <c r="Q39" s="27">
        <v>40236</v>
      </c>
      <c r="R39" s="27">
        <v>15260</v>
      </c>
      <c r="S39" s="26">
        <f t="shared" si="21"/>
        <v>55496</v>
      </c>
      <c r="T39" s="24">
        <f t="shared" si="22"/>
        <v>2.8821501738154778E-5</v>
      </c>
      <c r="U39" s="24">
        <f t="shared" si="23"/>
        <v>9.799310590972626E-6</v>
      </c>
      <c r="V39" s="24">
        <f t="shared" si="24"/>
        <v>2.6788422855672232E-5</v>
      </c>
      <c r="W39" s="25">
        <f t="shared" si="25"/>
        <v>1.2054790285052504E-6</v>
      </c>
      <c r="X39" s="24">
        <f t="shared" si="26"/>
        <v>5.764300347630956E-7</v>
      </c>
      <c r="Y39" s="37">
        <v>52.6601571389383</v>
      </c>
      <c r="Z39" s="74">
        <f t="shared" si="11"/>
        <v>10174.060273722596</v>
      </c>
      <c r="AA39" s="22">
        <f t="shared" si="12"/>
        <v>0.004405894150625683</v>
      </c>
      <c r="AB39" s="22">
        <f t="shared" si="27"/>
        <v>1.101473537656421E-4</v>
      </c>
      <c r="AC39" s="22">
        <f t="shared" si="28"/>
        <v>0.0025471698113207547</v>
      </c>
      <c r="AD39" s="80">
        <f t="shared" si="29"/>
        <v>0.004419521117686262</v>
      </c>
      <c r="AE39" s="72"/>
    </row>
    <row r="40" spans="1:31" s="6" customFormat="1" ht="16.15" customHeight="1">
      <c r="A40" s="18" t="s">
        <v>356</v>
      </c>
      <c r="B40" s="32">
        <v>36</v>
      </c>
      <c r="C40" s="33" t="s">
        <v>271</v>
      </c>
      <c r="D40" s="23">
        <v>8090</v>
      </c>
      <c r="E40" s="30">
        <f t="shared" si="19"/>
        <v>0.0034857197515789145</v>
      </c>
      <c r="F40" s="30">
        <f t="shared" si="20"/>
        <v>0.0022308606410105054</v>
      </c>
      <c r="G40" s="27">
        <v>5825</v>
      </c>
      <c r="H40" s="27">
        <v>720</v>
      </c>
      <c r="I40" s="26">
        <f t="shared" si="2"/>
        <v>6545</v>
      </c>
      <c r="J40" s="29">
        <f t="shared" si="16"/>
        <v>5.228543885478933E-6</v>
      </c>
      <c r="K40" s="29">
        <f t="shared" si="3"/>
        <v>1.7254194822080478E-6</v>
      </c>
      <c r="L40" s="27">
        <v>0</v>
      </c>
      <c r="M40" s="27">
        <v>0</v>
      </c>
      <c r="N40" s="26">
        <f t="shared" si="4"/>
        <v>0</v>
      </c>
      <c r="O40" s="21">
        <f t="shared" si="17"/>
        <v>0</v>
      </c>
      <c r="P40" s="28">
        <f t="shared" si="9"/>
        <v>0</v>
      </c>
      <c r="Q40" s="27">
        <v>0</v>
      </c>
      <c r="R40" s="27">
        <v>0</v>
      </c>
      <c r="S40" s="26">
        <f t="shared" si="21"/>
        <v>0</v>
      </c>
      <c r="T40" s="24">
        <f t="shared" si="22"/>
        <v>0</v>
      </c>
      <c r="U40" s="24">
        <f t="shared" si="23"/>
        <v>0</v>
      </c>
      <c r="V40" s="24">
        <f t="shared" si="24"/>
        <v>1.7254194822080478E-6</v>
      </c>
      <c r="W40" s="25">
        <f t="shared" si="25"/>
        <v>7.764387669936215E-8</v>
      </c>
      <c r="X40" s="24">
        <f t="shared" si="26"/>
        <v>0</v>
      </c>
      <c r="Y40" s="37">
        <v>53.0303898657951</v>
      </c>
      <c r="Z40" s="74">
        <f t="shared" si="11"/>
        <v>12456.781655520479</v>
      </c>
      <c r="AA40" s="22">
        <f t="shared" si="12"/>
        <v>0.005394430537573148</v>
      </c>
      <c r="AB40" s="22">
        <f t="shared" si="27"/>
        <v>1.348607634393287E-4</v>
      </c>
      <c r="AC40" s="22">
        <f t="shared" si="28"/>
        <v>0.0025471698113207547</v>
      </c>
      <c r="AD40" s="80">
        <f t="shared" si="29"/>
        <v>0.004912968859647288</v>
      </c>
      <c r="AE40" s="72"/>
    </row>
    <row r="41" spans="1:31" s="6" customFormat="1" ht="16.15" customHeight="1">
      <c r="A41" s="18" t="s">
        <v>357</v>
      </c>
      <c r="B41" s="32">
        <v>37</v>
      </c>
      <c r="C41" s="33" t="s">
        <v>272</v>
      </c>
      <c r="D41" s="23">
        <v>5250</v>
      </c>
      <c r="E41" s="30">
        <f t="shared" si="19"/>
        <v>0.002262055463014747</v>
      </c>
      <c r="F41" s="30">
        <f t="shared" si="20"/>
        <v>0.001447715496329438</v>
      </c>
      <c r="G41" s="27">
        <v>23481.01</v>
      </c>
      <c r="H41" s="27">
        <v>0</v>
      </c>
      <c r="I41" s="26">
        <f t="shared" si="2"/>
        <v>23481.01</v>
      </c>
      <c r="J41" s="29">
        <f t="shared" si="16"/>
        <v>1.875805825215732E-5</v>
      </c>
      <c r="K41" s="29">
        <f t="shared" si="3"/>
        <v>6.190159223211915E-6</v>
      </c>
      <c r="L41" s="27">
        <v>28497</v>
      </c>
      <c r="M41" s="27">
        <v>0</v>
      </c>
      <c r="N41" s="26">
        <f t="shared" si="4"/>
        <v>28497</v>
      </c>
      <c r="O41" s="21">
        <f t="shared" si="17"/>
        <v>1.7504108014537107E-5</v>
      </c>
      <c r="P41" s="28">
        <f t="shared" si="9"/>
        <v>5.776355644797246E-6</v>
      </c>
      <c r="Q41" s="27">
        <v>45880</v>
      </c>
      <c r="R41" s="27">
        <v>0</v>
      </c>
      <c r="S41" s="26">
        <f t="shared" si="21"/>
        <v>45880</v>
      </c>
      <c r="T41" s="24">
        <f t="shared" si="22"/>
        <v>2.3827492066933495E-5</v>
      </c>
      <c r="U41" s="24">
        <f t="shared" si="23"/>
        <v>8.101347302757389E-6</v>
      </c>
      <c r="V41" s="24">
        <f t="shared" si="24"/>
        <v>2.0067862170766552E-5</v>
      </c>
      <c r="W41" s="25">
        <f t="shared" si="25"/>
        <v>9.030537976844948E-7</v>
      </c>
      <c r="X41" s="24">
        <f t="shared" si="26"/>
        <v>4.7654984133866995E-7</v>
      </c>
      <c r="Y41" s="37">
        <v>54.0880772842783</v>
      </c>
      <c r="Z41" s="74">
        <f t="shared" si="11"/>
        <v>7275.323723897664</v>
      </c>
      <c r="AA41" s="22">
        <f t="shared" si="12"/>
        <v>0.0031505913447179338</v>
      </c>
      <c r="AB41" s="22">
        <f t="shared" si="27"/>
        <v>7.876478361794836E-5</v>
      </c>
      <c r="AC41" s="22">
        <f t="shared" si="28"/>
        <v>0.0025471698113207547</v>
      </c>
      <c r="AD41" s="80">
        <f t="shared" si="29"/>
        <v>0.004075029694907164</v>
      </c>
      <c r="AE41" s="72"/>
    </row>
    <row r="42" spans="1:31" s="6" customFormat="1" ht="16.15" customHeight="1">
      <c r="A42" s="18" t="s">
        <v>358</v>
      </c>
      <c r="B42" s="32">
        <v>38</v>
      </c>
      <c r="C42" s="31" t="s">
        <v>273</v>
      </c>
      <c r="D42" s="23">
        <v>35137</v>
      </c>
      <c r="E42" s="30">
        <f t="shared" si="19"/>
        <v>0.01513939862932365</v>
      </c>
      <c r="F42" s="30">
        <f t="shared" si="20"/>
        <v>0.009689215122767136</v>
      </c>
      <c r="G42" s="27">
        <v>2229291.23</v>
      </c>
      <c r="H42" s="27">
        <v>135411</v>
      </c>
      <c r="I42" s="26">
        <f t="shared" si="2"/>
        <v>2364702.23</v>
      </c>
      <c r="J42" s="29">
        <f t="shared" si="16"/>
        <v>0.0018890678969663707</v>
      </c>
      <c r="K42" s="29">
        <f t="shared" si="3"/>
        <v>6.233924059989023E-4</v>
      </c>
      <c r="L42" s="27">
        <v>3350861.07</v>
      </c>
      <c r="M42" s="27">
        <v>417285</v>
      </c>
      <c r="N42" s="26">
        <f t="shared" si="4"/>
        <v>3768146.07</v>
      </c>
      <c r="O42" s="21">
        <f t="shared" si="17"/>
        <v>0.0023145606844170792</v>
      </c>
      <c r="P42" s="28">
        <f t="shared" si="9"/>
        <v>7.638050258576362E-4</v>
      </c>
      <c r="Q42" s="27">
        <v>1.385505511E7</v>
      </c>
      <c r="R42" s="27">
        <v>315744.74</v>
      </c>
      <c r="S42" s="26">
        <f t="shared" si="21"/>
        <v>1.417079985E7</v>
      </c>
      <c r="T42" s="24">
        <f t="shared" si="22"/>
        <v>0.007359516586921913</v>
      </c>
      <c r="U42" s="24">
        <f t="shared" si="23"/>
        <v>0.002502235639553451</v>
      </c>
      <c r="V42" s="24">
        <f t="shared" si="24"/>
        <v>0.0038894330714099893</v>
      </c>
      <c r="W42" s="25">
        <f t="shared" si="25"/>
        <v>1.750244882134495E-4</v>
      </c>
      <c r="X42" s="24">
        <f t="shared" si="26"/>
        <v>1.4719033173843827E-4</v>
      </c>
      <c r="Y42" s="37">
        <v>54.4931812120775</v>
      </c>
      <c r="Z42" s="74">
        <f t="shared" si="11"/>
        <v>46619.519158979456</v>
      </c>
      <c r="AA42" s="22">
        <f t="shared" si="12"/>
        <v>0.02018866226869475</v>
      </c>
      <c r="AB42" s="22">
        <f t="shared" si="27"/>
        <v>5.047165567173688E-4</v>
      </c>
      <c r="AC42" s="22">
        <f t="shared" si="28"/>
        <v>0.0025471698113207547</v>
      </c>
      <c r="AD42" s="80">
        <f t="shared" si="29"/>
        <v>0.013063316310757148</v>
      </c>
      <c r="AE42" s="72"/>
    </row>
    <row r="43" spans="1:31" s="6" customFormat="1" ht="16.15" customHeight="1">
      <c r="A43" s="18" t="s">
        <v>274</v>
      </c>
      <c r="B43" s="32">
        <v>39</v>
      </c>
      <c r="C43" s="33" t="s">
        <v>274</v>
      </c>
      <c r="D43" s="23">
        <v>4186</v>
      </c>
      <c r="E43" s="30">
        <f t="shared" si="19"/>
        <v>0.0018036122225104248</v>
      </c>
      <c r="F43" s="30">
        <f t="shared" si="20"/>
        <v>0.001154311822406672</v>
      </c>
      <c r="G43" s="27">
        <v>0</v>
      </c>
      <c r="H43" s="27">
        <v>0</v>
      </c>
      <c r="I43" s="26">
        <f t="shared" si="2"/>
        <v>0</v>
      </c>
      <c r="J43" s="29">
        <f t="shared" si="16"/>
        <v>0</v>
      </c>
      <c r="K43" s="29">
        <f t="shared" si="3"/>
        <v>0</v>
      </c>
      <c r="L43" s="27">
        <v>976906.60</v>
      </c>
      <c r="M43" s="27">
        <v>0</v>
      </c>
      <c r="N43" s="26">
        <f t="shared" si="4"/>
        <v>976906.60</v>
      </c>
      <c r="O43" s="21">
        <f t="shared" si="17"/>
        <v>6.00058906078331E-4</v>
      </c>
      <c r="P43" s="28">
        <f t="shared" si="9"/>
        <v>1.980194390058492E-4</v>
      </c>
      <c r="Q43" s="27">
        <v>1171412.32</v>
      </c>
      <c r="R43" s="27">
        <v>0</v>
      </c>
      <c r="S43" s="26">
        <f t="shared" si="21"/>
        <v>1171412.32</v>
      </c>
      <c r="T43" s="24">
        <f t="shared" si="22"/>
        <v>6.083656879230201E-4</v>
      </c>
      <c r="U43" s="24">
        <f t="shared" si="23"/>
        <v>2.0684433389382687E-4</v>
      </c>
      <c r="V43" s="24">
        <f t="shared" si="24"/>
        <v>4.048637728996761E-4</v>
      </c>
      <c r="W43" s="25">
        <f t="shared" si="25"/>
        <v>1.8218869780485426E-5</v>
      </c>
      <c r="X43" s="24">
        <f t="shared" si="26"/>
        <v>1.2167313758460403E-5</v>
      </c>
      <c r="Y43" s="37">
        <v>55.1057406418157</v>
      </c>
      <c r="Z43" s="74">
        <f t="shared" si="11"/>
        <v>5180.611024441138</v>
      </c>
      <c r="AA43" s="22">
        <f t="shared" si="12"/>
        <v>0.00224347243825602</v>
      </c>
      <c r="AB43" s="22">
        <f t="shared" si="27"/>
        <v>5.60868109564005E-5</v>
      </c>
      <c r="AC43" s="22">
        <f t="shared" si="28"/>
        <v>0.0025471698113207547</v>
      </c>
      <c r="AD43" s="80">
        <f t="shared" si="29"/>
        <v>0.003787954628222773</v>
      </c>
      <c r="AE43" s="72"/>
    </row>
    <row r="44" spans="1:31" s="6" customFormat="1" ht="16.15" customHeight="1">
      <c r="A44" s="18" t="s">
        <v>275</v>
      </c>
      <c r="B44" s="32">
        <v>40</v>
      </c>
      <c r="C44" s="33" t="s">
        <v>275</v>
      </c>
      <c r="D44" s="23">
        <v>28555</v>
      </c>
      <c r="E44" s="30">
        <f t="shared" si="19"/>
        <v>0.012303427380264019</v>
      </c>
      <c r="F44" s="30">
        <f t="shared" si="20"/>
        <v>0.007874193523368971</v>
      </c>
      <c r="G44" s="27">
        <v>338298.18</v>
      </c>
      <c r="H44" s="27">
        <v>315744.75</v>
      </c>
      <c r="I44" s="26">
        <f t="shared" si="2"/>
        <v>654042.9299999999</v>
      </c>
      <c r="J44" s="29">
        <f t="shared" si="16"/>
        <v>5.224892532455654E-4</v>
      </c>
      <c r="K44" s="29">
        <f t="shared" si="3"/>
        <v>1.7242145357103657E-4</v>
      </c>
      <c r="L44" s="27">
        <v>2922011.07</v>
      </c>
      <c r="M44" s="27">
        <v>294229.48</v>
      </c>
      <c r="N44" s="26">
        <f t="shared" si="4"/>
        <v>3216240.55</v>
      </c>
      <c r="O44" s="21">
        <f t="shared" si="17"/>
        <v>0.0019755560932004854</v>
      </c>
      <c r="P44" s="28">
        <f t="shared" si="9"/>
        <v>6.519335107561602E-4</v>
      </c>
      <c r="Q44" s="27">
        <v>2755810.76</v>
      </c>
      <c r="R44" s="27">
        <v>100600.08</v>
      </c>
      <c r="S44" s="26">
        <f t="shared" si="21"/>
        <v>2856410.84</v>
      </c>
      <c r="T44" s="24">
        <f t="shared" si="22"/>
        <v>0.0014834591680471412</v>
      </c>
      <c r="U44" s="24">
        <f t="shared" si="23"/>
        <v>5.04376117136028E-4</v>
      </c>
      <c r="V44" s="24">
        <f t="shared" si="24"/>
        <v>0.0013287310814632247</v>
      </c>
      <c r="W44" s="25">
        <f t="shared" si="25"/>
        <v>5.979289866584511E-5</v>
      </c>
      <c r="X44" s="24">
        <f t="shared" si="26"/>
        <v>2.9669183360942823E-5</v>
      </c>
      <c r="Y44" s="37">
        <v>55.0226455444762</v>
      </c>
      <c r="Z44" s="74">
        <f t="shared" si="11"/>
        <v>35685.263703121345</v>
      </c>
      <c r="AA44" s="22">
        <f t="shared" si="12"/>
        <v>0.015453564298139346</v>
      </c>
      <c r="AB44" s="22">
        <f t="shared" si="27"/>
        <v>3.863391074534837E-4</v>
      </c>
      <c r="AC44" s="22">
        <f t="shared" si="28"/>
        <v>0.0025471698113207547</v>
      </c>
      <c r="AD44" s="80">
        <f t="shared" si="29"/>
        <v>0.010897164524169996</v>
      </c>
      <c r="AE44" s="72"/>
    </row>
    <row r="45" spans="1:31" s="6" customFormat="1" ht="16.15" customHeight="1">
      <c r="A45" s="18" t="s">
        <v>359</v>
      </c>
      <c r="B45" s="32">
        <v>41</v>
      </c>
      <c r="C45" s="33" t="s">
        <v>276</v>
      </c>
      <c r="D45" s="23">
        <v>141939</v>
      </c>
      <c r="E45" s="30">
        <f t="shared" si="19"/>
        <v>0.0611569314980667</v>
      </c>
      <c r="F45" s="30">
        <f t="shared" si="20"/>
        <v>0.039140436158762684</v>
      </c>
      <c r="G45" s="27">
        <v>1.065209824E7</v>
      </c>
      <c r="H45" s="27">
        <v>1767466</v>
      </c>
      <c r="I45" s="26">
        <f t="shared" si="2"/>
        <v>1.241956424E7</v>
      </c>
      <c r="J45" s="29">
        <f t="shared" si="16"/>
        <v>0.009921502928550771</v>
      </c>
      <c r="K45" s="29">
        <f t="shared" si="3"/>
        <v>0.0032740959664217546</v>
      </c>
      <c r="L45" s="27">
        <v>1.326606325E7</v>
      </c>
      <c r="M45" s="27">
        <v>2165237</v>
      </c>
      <c r="N45" s="26">
        <f t="shared" si="4"/>
        <v>1.543130025E7</v>
      </c>
      <c r="O45" s="21">
        <f t="shared" si="17"/>
        <v>0.009478581828990893</v>
      </c>
      <c r="P45" s="28">
        <f t="shared" si="9"/>
        <v>0.0031279320035669947</v>
      </c>
      <c r="Q45" s="27">
        <v>1.601861223E7</v>
      </c>
      <c r="R45" s="27">
        <v>2281893.05</v>
      </c>
      <c r="S45" s="26">
        <f t="shared" si="21"/>
        <v>1.830050528E7</v>
      </c>
      <c r="T45" s="24">
        <f t="shared" si="22"/>
        <v>0.00950425336486649</v>
      </c>
      <c r="U45" s="24">
        <f t="shared" si="23"/>
        <v>0.003231446144054607</v>
      </c>
      <c r="V45" s="24">
        <f t="shared" si="24"/>
        <v>0.009633474114043356</v>
      </c>
      <c r="W45" s="25">
        <f t="shared" si="25"/>
        <v>4.33506335131951E-4</v>
      </c>
      <c r="X45" s="24">
        <f t="shared" si="26"/>
        <v>1.900850672973298E-4</v>
      </c>
      <c r="Y45" s="37">
        <v>58.1220187891718</v>
      </c>
      <c r="Z45" s="74">
        <f t="shared" si="11"/>
        <v>113328.93265219289</v>
      </c>
      <c r="AA45" s="22">
        <f t="shared" si="12"/>
        <v>0.049077287536675236</v>
      </c>
      <c r="AB45" s="22">
        <f t="shared" si="27"/>
        <v>0.001226932188416881</v>
      </c>
      <c r="AC45" s="22">
        <f t="shared" si="28"/>
        <v>0.0025471698113207547</v>
      </c>
      <c r="AD45" s="80">
        <f t="shared" si="29"/>
        <v>0.043538129560929596</v>
      </c>
      <c r="AE45" s="72"/>
    </row>
    <row r="46" spans="1:31" s="6" customFormat="1" ht="16.15" customHeight="1">
      <c r="A46" s="18" t="s">
        <v>277</v>
      </c>
      <c r="B46" s="32">
        <v>42</v>
      </c>
      <c r="C46" s="31" t="s">
        <v>277</v>
      </c>
      <c r="D46" s="23">
        <v>5553</v>
      </c>
      <c r="E46" s="30">
        <f t="shared" si="19"/>
        <v>0.0023926083783087407</v>
      </c>
      <c r="F46" s="30">
        <f t="shared" si="20"/>
        <v>0.0015312693621175942</v>
      </c>
      <c r="G46" s="27">
        <v>2825</v>
      </c>
      <c r="H46" s="27">
        <v>15600</v>
      </c>
      <c r="I46" s="26">
        <f t="shared" si="2"/>
        <v>18425</v>
      </c>
      <c r="J46" s="29">
        <f t="shared" si="16"/>
        <v>1.4719010097776826E-5</v>
      </c>
      <c r="K46" s="29">
        <f t="shared" si="3"/>
        <v>4.857273332266353E-6</v>
      </c>
      <c r="L46" s="27">
        <v>0</v>
      </c>
      <c r="M46" s="27">
        <v>16300</v>
      </c>
      <c r="N46" s="26">
        <f t="shared" si="4"/>
        <v>16300</v>
      </c>
      <c r="O46" s="21">
        <f t="shared" si="17"/>
        <v>1.001217533905165E-5</v>
      </c>
      <c r="P46" s="28">
        <f t="shared" si="9"/>
        <v>3.3040178618870446E-6</v>
      </c>
      <c r="Q46" s="27">
        <v>79615</v>
      </c>
      <c r="R46" s="27">
        <v>15340</v>
      </c>
      <c r="S46" s="26">
        <f t="shared" si="21"/>
        <v>94955</v>
      </c>
      <c r="T46" s="24">
        <f t="shared" si="22"/>
        <v>4.931428747200676E-5</v>
      </c>
      <c r="U46" s="24">
        <f t="shared" si="23"/>
        <v>1.67668577404823E-5</v>
      </c>
      <c r="V46" s="24">
        <f t="shared" si="24"/>
        <v>2.4928148934635697E-5</v>
      </c>
      <c r="W46" s="25">
        <f t="shared" si="25"/>
        <v>1.1217667020586063E-6</v>
      </c>
      <c r="X46" s="24">
        <f t="shared" si="26"/>
        <v>9.862857494401351E-7</v>
      </c>
      <c r="Y46" s="37">
        <v>52.5371522522648</v>
      </c>
      <c r="Z46" s="74">
        <f t="shared" si="11"/>
        <v>8949.162779886068</v>
      </c>
      <c r="AA46" s="22">
        <f t="shared" si="12"/>
        <v>0.003875450202190553</v>
      </c>
      <c r="AB46" s="22">
        <f t="shared" si="27"/>
        <v>9.688625505476383E-5</v>
      </c>
      <c r="AC46" s="22">
        <f t="shared" si="28"/>
        <v>0.0025471698113207547</v>
      </c>
      <c r="AD46" s="80">
        <f t="shared" si="29"/>
        <v>0.004177433480944612</v>
      </c>
      <c r="AE46" s="72"/>
    </row>
    <row r="47" spans="1:31" s="6" customFormat="1" ht="16.15" customHeight="1">
      <c r="A47" s="18" t="s">
        <v>278</v>
      </c>
      <c r="B47" s="32">
        <v>43</v>
      </c>
      <c r="C47" s="31" t="s">
        <v>278</v>
      </c>
      <c r="D47" s="23">
        <v>3405</v>
      </c>
      <c r="E47" s="30">
        <f t="shared" si="19"/>
        <v>0.0014671045431552787</v>
      </c>
      <c r="F47" s="30">
        <f t="shared" si="20"/>
        <v>9.389469076193784E-4</v>
      </c>
      <c r="G47" s="27">
        <v>1618</v>
      </c>
      <c r="H47" s="27">
        <v>200</v>
      </c>
      <c r="I47" s="26">
        <f t="shared" si="2"/>
        <v>1818</v>
      </c>
      <c r="J47" s="29">
        <f t="shared" si="16"/>
        <v>1.4523289203667989E-6</v>
      </c>
      <c r="K47" s="29">
        <f t="shared" si="3"/>
        <v>4.792685437210436E-7</v>
      </c>
      <c r="L47" s="27">
        <v>17575</v>
      </c>
      <c r="M47" s="27">
        <v>2250</v>
      </c>
      <c r="N47" s="26">
        <f t="shared" si="4"/>
        <v>19825</v>
      </c>
      <c r="O47" s="21">
        <f t="shared" si="17"/>
        <v>1.2177385036607299E-5</v>
      </c>
      <c r="P47" s="28">
        <f t="shared" si="9"/>
        <v>4.0185370620804085E-6</v>
      </c>
      <c r="Q47" s="27">
        <v>12935</v>
      </c>
      <c r="R47" s="27">
        <v>3300</v>
      </c>
      <c r="S47" s="26">
        <f t="shared" si="21"/>
        <v>16235</v>
      </c>
      <c r="T47" s="24">
        <f t="shared" si="22"/>
        <v>8.431546070328363E-6</v>
      </c>
      <c r="U47" s="24">
        <f t="shared" si="23"/>
        <v>2.8667256639116434E-6</v>
      </c>
      <c r="V47" s="24">
        <f t="shared" si="24"/>
        <v>7.364531269713095E-6</v>
      </c>
      <c r="W47" s="25">
        <f t="shared" si="25"/>
        <v>3.3140390713708927E-7</v>
      </c>
      <c r="X47" s="24">
        <f t="shared" si="26"/>
        <v>1.6863092140656727E-7</v>
      </c>
      <c r="Y47" s="37">
        <v>51.9408331092958</v>
      </c>
      <c r="Z47" s="74">
        <f t="shared" si="11"/>
        <v>5783.102051070634</v>
      </c>
      <c r="AA47" s="22">
        <f t="shared" si="12"/>
        <v>0.0025043822047223527</v>
      </c>
      <c r="AB47" s="22">
        <f t="shared" si="27"/>
        <v>6.260955511805882E-5</v>
      </c>
      <c r="AC47" s="22">
        <f t="shared" si="28"/>
        <v>0.0025471698113207547</v>
      </c>
      <c r="AD47" s="80">
        <f t="shared" si="29"/>
        <v>0.0035492263088867356</v>
      </c>
      <c r="AE47" s="72"/>
    </row>
    <row r="48" spans="1:31" s="6" customFormat="1" ht="16.15" customHeight="1">
      <c r="A48" s="18" t="s">
        <v>279</v>
      </c>
      <c r="B48" s="32">
        <v>44</v>
      </c>
      <c r="C48" s="31" t="s">
        <v>279</v>
      </c>
      <c r="D48" s="23">
        <v>7530</v>
      </c>
      <c r="E48" s="30">
        <f t="shared" si="19"/>
        <v>0.003244433835524008</v>
      </c>
      <c r="F48" s="30">
        <f t="shared" si="20"/>
        <v>0.0020764376547353653</v>
      </c>
      <c r="G48" s="27">
        <v>186339</v>
      </c>
      <c r="H48" s="27">
        <v>0</v>
      </c>
      <c r="I48" s="26">
        <f t="shared" si="2"/>
        <v>186339</v>
      </c>
      <c r="J48" s="29">
        <f t="shared" si="16"/>
        <v>1.488589211728432E-4</v>
      </c>
      <c r="K48" s="29">
        <f t="shared" si="3"/>
        <v>4.912344398703826E-5</v>
      </c>
      <c r="L48" s="27">
        <v>247573</v>
      </c>
      <c r="M48" s="27">
        <v>0</v>
      </c>
      <c r="N48" s="26">
        <f t="shared" si="4"/>
        <v>247573</v>
      </c>
      <c r="O48" s="21">
        <f t="shared" si="17"/>
        <v>1.520702015469346E-4</v>
      </c>
      <c r="P48" s="28">
        <f t="shared" si="9"/>
        <v>5.018316651048842E-5</v>
      </c>
      <c r="Q48" s="27">
        <v>192200.78</v>
      </c>
      <c r="R48" s="27">
        <v>44550</v>
      </c>
      <c r="S48" s="26">
        <f t="shared" si="21"/>
        <v>236750.78</v>
      </c>
      <c r="T48" s="24">
        <f t="shared" si="22"/>
        <v>1.2295504211617953E-4</v>
      </c>
      <c r="U48" s="24">
        <f t="shared" si="23"/>
        <v>4.180471431950104E-5</v>
      </c>
      <c r="V48" s="24">
        <f t="shared" si="24"/>
        <v>1.411113248170277E-4</v>
      </c>
      <c r="W48" s="25">
        <f t="shared" si="25"/>
        <v>6.350009616766247E-6</v>
      </c>
      <c r="X48" s="24">
        <f t="shared" si="26"/>
        <v>2.4591008423235905E-6</v>
      </c>
      <c r="Y48" s="37">
        <v>53.8417356501315</v>
      </c>
      <c r="Z48" s="74">
        <f t="shared" si="11"/>
        <v>10704.973968736624</v>
      </c>
      <c r="AA48" s="22">
        <f t="shared" si="12"/>
        <v>0.004635807231580284</v>
      </c>
      <c r="AB48" s="22">
        <f t="shared" si="27"/>
        <v>1.158951807895071E-4</v>
      </c>
      <c r="AC48" s="22">
        <f t="shared" si="28"/>
        <v>0.0025471698113207547</v>
      </c>
      <c r="AD48" s="80">
        <f t="shared" si="29"/>
        <v>0.004748311757304717</v>
      </c>
      <c r="AE48" s="72"/>
    </row>
    <row r="49" spans="1:31" s="6" customFormat="1" ht="16.15" customHeight="1">
      <c r="A49" s="18" t="s">
        <v>360</v>
      </c>
      <c r="B49" s="32">
        <v>45</v>
      </c>
      <c r="C49" s="31" t="s">
        <v>280</v>
      </c>
      <c r="D49" s="23">
        <v>2677</v>
      </c>
      <c r="E49" s="30">
        <f t="shared" si="19"/>
        <v>0.0011534328522839004</v>
      </c>
      <c r="F49" s="30">
        <f t="shared" si="20"/>
        <v>7.381970254616962E-4</v>
      </c>
      <c r="G49" s="27">
        <v>12500</v>
      </c>
      <c r="H49" s="27">
        <v>5868</v>
      </c>
      <c r="I49" s="26">
        <f t="shared" si="2"/>
        <v>18368</v>
      </c>
      <c r="J49" s="29">
        <f t="shared" si="16"/>
        <v>1.467347503261681E-5</v>
      </c>
      <c r="K49" s="29">
        <f t="shared" si="3"/>
        <v>4.842246760763548E-6</v>
      </c>
      <c r="L49" s="27">
        <v>0</v>
      </c>
      <c r="M49" s="27">
        <v>0</v>
      </c>
      <c r="N49" s="26">
        <f t="shared" si="4"/>
        <v>0</v>
      </c>
      <c r="O49" s="21">
        <f t="shared" si="17"/>
        <v>0</v>
      </c>
      <c r="P49" s="28">
        <f t="shared" si="9"/>
        <v>0</v>
      </c>
      <c r="Q49" s="27">
        <v>26762</v>
      </c>
      <c r="R49" s="27">
        <v>269</v>
      </c>
      <c r="S49" s="26">
        <f t="shared" si="21"/>
        <v>27031</v>
      </c>
      <c r="T49" s="24">
        <f t="shared" si="22"/>
        <v>1.4038381387560578E-5</v>
      </c>
      <c r="U49" s="24">
        <f t="shared" si="23"/>
        <v>4.773049671770597E-6</v>
      </c>
      <c r="V49" s="24">
        <f t="shared" si="24"/>
        <v>9.615296432534144E-6</v>
      </c>
      <c r="W49" s="25">
        <f t="shared" si="25"/>
        <v>4.3268833946403647E-7</v>
      </c>
      <c r="X49" s="24">
        <f t="shared" si="26"/>
        <v>2.8076762775121156E-7</v>
      </c>
      <c r="Y49" s="37">
        <v>54.6742960350614</v>
      </c>
      <c r="Z49" s="74">
        <f t="shared" si="11"/>
        <v>3481.231025258872</v>
      </c>
      <c r="AA49" s="22">
        <f t="shared" si="12"/>
        <v>0.0015075530317801727</v>
      </c>
      <c r="AB49" s="22">
        <f t="shared" si="27"/>
        <v>3.768882579450432E-5</v>
      </c>
      <c r="AC49" s="22">
        <f t="shared" si="28"/>
        <v>0.0025471698113207547</v>
      </c>
      <c r="AD49" s="80">
        <f t="shared" si="29"/>
        <v>0.0033237691185441704</v>
      </c>
      <c r="AE49" s="72"/>
    </row>
    <row r="50" spans="1:31" s="6" customFormat="1" ht="16.15" customHeight="1">
      <c r="A50" s="18" t="s">
        <v>281</v>
      </c>
      <c r="B50" s="32">
        <v>46</v>
      </c>
      <c r="C50" s="31" t="s">
        <v>281</v>
      </c>
      <c r="D50" s="23">
        <v>3296</v>
      </c>
      <c r="E50" s="30">
        <f t="shared" si="19"/>
        <v>0.0014201399630660201</v>
      </c>
      <c r="F50" s="30">
        <f t="shared" si="20"/>
        <v>9.088895763622529E-4</v>
      </c>
      <c r="G50" s="27">
        <v>6817</v>
      </c>
      <c r="H50" s="27">
        <v>0</v>
      </c>
      <c r="I50" s="26">
        <f t="shared" si="2"/>
        <v>6817</v>
      </c>
      <c r="J50" s="29">
        <f t="shared" si="16"/>
        <v>5.445834020979355E-6</v>
      </c>
      <c r="K50" s="29">
        <f t="shared" si="3"/>
        <v>1.7971252269231873E-6</v>
      </c>
      <c r="L50" s="27">
        <v>26608</v>
      </c>
      <c r="M50" s="27">
        <v>2375</v>
      </c>
      <c r="N50" s="26">
        <f t="shared" si="4"/>
        <v>28983</v>
      </c>
      <c r="O50" s="21">
        <f t="shared" si="17"/>
        <v>1.7802630543051162E-5</v>
      </c>
      <c r="P50" s="28">
        <f t="shared" si="9"/>
        <v>5.874868079206884E-6</v>
      </c>
      <c r="Q50" s="27">
        <v>23890</v>
      </c>
      <c r="R50" s="27">
        <v>250</v>
      </c>
      <c r="S50" s="26">
        <f t="shared" si="21"/>
        <v>24140</v>
      </c>
      <c r="T50" s="24">
        <f t="shared" si="22"/>
        <v>1.2536958554833796E-5</v>
      </c>
      <c r="U50" s="24">
        <f t="shared" si="23"/>
        <v>4.262565908643491E-6</v>
      </c>
      <c r="V50" s="24">
        <f t="shared" si="24"/>
        <v>1.1934559214773563E-5</v>
      </c>
      <c r="W50" s="25">
        <f t="shared" si="25"/>
        <v>5.370551646648103E-7</v>
      </c>
      <c r="X50" s="24">
        <f t="shared" si="26"/>
        <v>2.5073917109667594E-7</v>
      </c>
      <c r="Y50" s="37">
        <v>51.8632356982559</v>
      </c>
      <c r="Z50" s="74">
        <f t="shared" si="11"/>
        <v>5635.213660172665</v>
      </c>
      <c r="AA50" s="22">
        <f t="shared" si="12"/>
        <v>0.002440338884860596</v>
      </c>
      <c r="AB50" s="22">
        <f t="shared" si="27"/>
        <v>6.100847212151491E-5</v>
      </c>
      <c r="AC50" s="22">
        <f t="shared" si="28"/>
        <v>0.0025471698113207547</v>
      </c>
      <c r="AD50" s="80">
        <f t="shared" si="29"/>
        <v>0.003517855654140284</v>
      </c>
      <c r="AE50" s="72"/>
    </row>
    <row r="51" spans="1:31" s="6" customFormat="1" ht="16.15" customHeight="1">
      <c r="A51" s="18" t="s">
        <v>361</v>
      </c>
      <c r="B51" s="32">
        <v>47</v>
      </c>
      <c r="C51" s="31" t="s">
        <v>282</v>
      </c>
      <c r="D51" s="23">
        <v>5968</v>
      </c>
      <c r="E51" s="30">
        <f t="shared" si="19"/>
        <v>0.002571418476813716</v>
      </c>
      <c r="F51" s="30">
        <f t="shared" si="20"/>
        <v>0.0016457078251607782</v>
      </c>
      <c r="G51" s="27">
        <v>20175</v>
      </c>
      <c r="H51" s="27">
        <v>46996</v>
      </c>
      <c r="I51" s="26">
        <f t="shared" si="2"/>
        <v>67171</v>
      </c>
      <c r="J51" s="29">
        <f t="shared" si="16"/>
        <v>5.366027827830487E-5</v>
      </c>
      <c r="K51" s="29">
        <f t="shared" si="3"/>
        <v>1.7707891831840607E-5</v>
      </c>
      <c r="L51" s="27">
        <v>18676</v>
      </c>
      <c r="M51" s="27">
        <v>153880</v>
      </c>
      <c r="N51" s="26">
        <f t="shared" si="4"/>
        <v>172556</v>
      </c>
      <c r="O51" s="21">
        <f t="shared" si="17"/>
        <v>1.0599146796352125E-4</v>
      </c>
      <c r="P51" s="28">
        <f t="shared" si="9"/>
        <v>3.497718442796202E-5</v>
      </c>
      <c r="Q51" s="27">
        <v>14380</v>
      </c>
      <c r="R51" s="27">
        <v>143410</v>
      </c>
      <c r="S51" s="26">
        <f t="shared" si="21"/>
        <v>157790</v>
      </c>
      <c r="T51" s="24">
        <f t="shared" si="22"/>
        <v>8.194725312208885E-5</v>
      </c>
      <c r="U51" s="24">
        <f t="shared" si="23"/>
        <v>2.786206606151021E-5</v>
      </c>
      <c r="V51" s="24">
        <f t="shared" si="24"/>
        <v>8.054714232131284E-5</v>
      </c>
      <c r="W51" s="25">
        <f t="shared" si="25"/>
        <v>3.6246214044590776E-6</v>
      </c>
      <c r="X51" s="24">
        <f t="shared" si="26"/>
        <v>1.6389450624417769E-6</v>
      </c>
      <c r="Y51" s="37">
        <v>51.9982247690659</v>
      </c>
      <c r="Z51" s="74">
        <f t="shared" si="11"/>
        <v>10086.268970588053</v>
      </c>
      <c r="AA51" s="22">
        <f t="shared" si="12"/>
        <v>0.0043678759770991015</v>
      </c>
      <c r="AB51" s="22">
        <f t="shared" si="27"/>
        <v>1.0919689942747754E-4</v>
      </c>
      <c r="AC51" s="22">
        <f t="shared" si="28"/>
        <v>0.0025471698113207547</v>
      </c>
      <c r="AD51" s="80">
        <f t="shared" si="29"/>
        <v>0.0043073381023759115</v>
      </c>
      <c r="AE51" s="72"/>
    </row>
    <row r="52" spans="1:31" s="6" customFormat="1" ht="16.15" customHeight="1">
      <c r="A52" s="18" t="s">
        <v>362</v>
      </c>
      <c r="B52" s="32">
        <v>48</v>
      </c>
      <c r="C52" s="31" t="s">
        <v>283</v>
      </c>
      <c r="D52" s="23">
        <v>23991</v>
      </c>
      <c r="E52" s="30">
        <f t="shared" si="19"/>
        <v>0.010336947164416532</v>
      </c>
      <c r="F52" s="30">
        <f t="shared" si="20"/>
        <v>0.00661564618522658</v>
      </c>
      <c r="G52" s="27">
        <v>66907.50</v>
      </c>
      <c r="H52" s="27">
        <v>70232.50</v>
      </c>
      <c r="I52" s="26">
        <f t="shared" si="2"/>
        <v>137140</v>
      </c>
      <c r="J52" s="29">
        <f t="shared" si="16"/>
        <v>1.0955576905341189E-4</v>
      </c>
      <c r="K52" s="29">
        <f t="shared" si="3"/>
        <v>3.6153403787625926E-5</v>
      </c>
      <c r="L52" s="27">
        <v>127364.80</v>
      </c>
      <c r="M52" s="27">
        <v>69936.50</v>
      </c>
      <c r="N52" s="26">
        <f t="shared" si="4"/>
        <v>197301.30</v>
      </c>
      <c r="O52" s="21">
        <f t="shared" si="17"/>
        <v>1.2119111719158474E-4</v>
      </c>
      <c r="P52" s="28">
        <f t="shared" si="9"/>
        <v>3.9993068673222966E-5</v>
      </c>
      <c r="Q52" s="27">
        <v>135877.50</v>
      </c>
      <c r="R52" s="27">
        <v>114200.50</v>
      </c>
      <c r="S52" s="26">
        <f t="shared" si="21"/>
        <v>250078</v>
      </c>
      <c r="T52" s="24">
        <f t="shared" si="22"/>
        <v>1.2987645076535735E-4</v>
      </c>
      <c r="U52" s="24">
        <f t="shared" si="23"/>
        <v>4.41579932602215E-5</v>
      </c>
      <c r="V52" s="24">
        <f t="shared" si="24"/>
        <v>1.203044657210704E-4</v>
      </c>
      <c r="W52" s="25">
        <f t="shared" si="25"/>
        <v>5.413700957448168E-6</v>
      </c>
      <c r="X52" s="24">
        <f t="shared" si="26"/>
        <v>2.597529015307147E-6</v>
      </c>
      <c r="Y52" s="37">
        <v>53.775413786013</v>
      </c>
      <c r="Z52" s="74">
        <f t="shared" si="11"/>
        <v>34338.31236838134</v>
      </c>
      <c r="AA52" s="22">
        <f t="shared" si="12"/>
        <v>0.014870264725771366</v>
      </c>
      <c r="AB52" s="22">
        <f t="shared" si="27"/>
        <v>3.717566181442842E-4</v>
      </c>
      <c r="AC52" s="22">
        <f t="shared" si="28"/>
        <v>0.0025471698113207547</v>
      </c>
      <c r="AD52" s="80">
        <f t="shared" si="29"/>
        <v>0.009542583844664373</v>
      </c>
      <c r="AE52" s="72"/>
    </row>
    <row r="53" spans="1:31" s="6" customFormat="1" ht="16.15" customHeight="1">
      <c r="A53" s="18" t="s">
        <v>363</v>
      </c>
      <c r="B53" s="32">
        <v>49</v>
      </c>
      <c r="C53" s="31" t="s">
        <v>284</v>
      </c>
      <c r="D53" s="23">
        <v>3965</v>
      </c>
      <c r="E53" s="30">
        <f t="shared" si="19"/>
        <v>0.001708390459210185</v>
      </c>
      <c r="F53" s="30">
        <f t="shared" si="20"/>
        <v>0.0010933698938945184</v>
      </c>
      <c r="G53" s="27">
        <v>0</v>
      </c>
      <c r="H53" s="27">
        <v>0</v>
      </c>
      <c r="I53" s="26">
        <f t="shared" si="2"/>
        <v>0</v>
      </c>
      <c r="J53" s="29">
        <f t="shared" si="16"/>
        <v>0</v>
      </c>
      <c r="K53" s="29">
        <f t="shared" si="3"/>
        <v>0</v>
      </c>
      <c r="L53" s="27">
        <v>0</v>
      </c>
      <c r="M53" s="27">
        <v>0</v>
      </c>
      <c r="N53" s="26">
        <f t="shared" si="4"/>
        <v>0</v>
      </c>
      <c r="O53" s="21">
        <f t="shared" si="17"/>
        <v>0</v>
      </c>
      <c r="P53" s="28">
        <f t="shared" si="9"/>
        <v>0</v>
      </c>
      <c r="Q53" s="27">
        <v>0</v>
      </c>
      <c r="R53" s="27">
        <v>0</v>
      </c>
      <c r="S53" s="26">
        <f t="shared" si="21"/>
        <v>0</v>
      </c>
      <c r="T53" s="24">
        <f t="shared" si="22"/>
        <v>0</v>
      </c>
      <c r="U53" s="24">
        <f t="shared" si="23"/>
        <v>0</v>
      </c>
      <c r="V53" s="24">
        <f t="shared" si="24"/>
        <v>0</v>
      </c>
      <c r="W53" s="25">
        <f t="shared" si="25"/>
        <v>0</v>
      </c>
      <c r="X53" s="24">
        <f t="shared" si="26"/>
        <v>0</v>
      </c>
      <c r="Y53" s="37">
        <v>46.5053986922235</v>
      </c>
      <c r="Z53" s="74">
        <f t="shared" si="11"/>
        <v>9872.1123133846</v>
      </c>
      <c r="AA53" s="22">
        <f t="shared" si="12"/>
        <v>0.004275135071511267</v>
      </c>
      <c r="AB53" s="22">
        <f t="shared" si="27"/>
        <v>1.0687837678778167E-4</v>
      </c>
      <c r="AC53" s="22">
        <f t="shared" si="28"/>
        <v>0.0025471698113207547</v>
      </c>
      <c r="AD53" s="80">
        <f t="shared" si="29"/>
        <v>0.0037474180820030547</v>
      </c>
      <c r="AE53" s="72"/>
    </row>
    <row r="54" spans="1:31" s="6" customFormat="1" ht="16.15" customHeight="1">
      <c r="A54" s="18" t="s">
        <v>364</v>
      </c>
      <c r="B54" s="32">
        <v>50</v>
      </c>
      <c r="C54" s="33" t="s">
        <v>285</v>
      </c>
      <c r="D54" s="23">
        <v>995129</v>
      </c>
      <c r="E54" s="30">
        <f t="shared" si="19"/>
        <v>0.4287689506389337</v>
      </c>
      <c r="F54" s="30">
        <f t="shared" si="20"/>
        <v>0.2744121284089176</v>
      </c>
      <c r="G54" s="27">
        <v>6.7537595292E8</v>
      </c>
      <c r="H54" s="27">
        <v>4.0420643507E8</v>
      </c>
      <c r="I54" s="26">
        <f t="shared" si="2"/>
        <v>1.07958238799E9</v>
      </c>
      <c r="J54" s="29">
        <f t="shared" si="16"/>
        <v>0.8624360418022703</v>
      </c>
      <c r="K54" s="29">
        <f t="shared" si="3"/>
        <v>0.2846038937947492</v>
      </c>
      <c r="L54" s="27">
        <v>9.5598721152E8</v>
      </c>
      <c r="M54" s="27">
        <v>4.5143934171E8</v>
      </c>
      <c r="N54" s="26">
        <f t="shared" si="4"/>
        <v>1.40742655323E9</v>
      </c>
      <c r="O54" s="21">
        <f t="shared" si="17"/>
        <v>0.8645031550782742</v>
      </c>
      <c r="P54" s="28">
        <f t="shared" si="9"/>
        <v>0.2852860411758305</v>
      </c>
      <c r="Q54" s="27">
        <v>1.195797676E9</v>
      </c>
      <c r="R54" s="27">
        <v>4.7133975411E8</v>
      </c>
      <c r="S54" s="26">
        <f t="shared" si="21"/>
        <v>1.6671374301100001E9</v>
      </c>
      <c r="T54" s="24">
        <f t="shared" si="22"/>
        <v>0.8658174344035293</v>
      </c>
      <c r="U54" s="24">
        <f t="shared" si="23"/>
        <v>0.2943779276972</v>
      </c>
      <c r="V54" s="24">
        <f t="shared" si="24"/>
        <v>0.8642678626677798</v>
      </c>
      <c r="W54" s="25">
        <f t="shared" si="25"/>
        <v>0.038892053820050086</v>
      </c>
      <c r="X54" s="24">
        <f t="shared" si="26"/>
        <v>0.017316348688070585</v>
      </c>
      <c r="Y54" s="37">
        <v>59.9136202879157</v>
      </c>
      <c r="Z54" s="74">
        <f t="shared" si="11"/>
        <v>534958.3490673794</v>
      </c>
      <c r="AA54" s="22">
        <f t="shared" si="12"/>
        <v>0.23166462528946127</v>
      </c>
      <c r="AB54" s="22">
        <f t="shared" si="27"/>
        <v>0.005791615632236532</v>
      </c>
      <c r="AC54" s="22">
        <f t="shared" si="28"/>
        <v>0.0025471698113207547</v>
      </c>
      <c r="AD54" s="80">
        <f t="shared" si="29"/>
        <v>0.3389593163605955</v>
      </c>
      <c r="AE54" s="72"/>
    </row>
    <row r="55" spans="1:31" s="6" customFormat="1" ht="16.15" customHeight="1">
      <c r="A55" s="18" t="s">
        <v>365</v>
      </c>
      <c r="B55" s="32">
        <v>51</v>
      </c>
      <c r="C55" s="31" t="s">
        <v>286</v>
      </c>
      <c r="D55" s="23">
        <v>3430</v>
      </c>
      <c r="E55" s="30">
        <f t="shared" si="19"/>
        <v>0.0014778762358363014</v>
      </c>
      <c r="F55" s="30">
        <f t="shared" si="20"/>
        <v>9.458407909352329E-4</v>
      </c>
      <c r="G55" s="27">
        <v>20010</v>
      </c>
      <c r="H55" s="27">
        <v>0</v>
      </c>
      <c r="I55" s="26">
        <f t="shared" si="2"/>
        <v>20010</v>
      </c>
      <c r="J55" s="29">
        <f t="shared" si="16"/>
        <v>1.598520445354216E-5</v>
      </c>
      <c r="K55" s="29">
        <f t="shared" si="3"/>
        <v>5.275117469668913E-6</v>
      </c>
      <c r="L55" s="27">
        <v>920352.70</v>
      </c>
      <c r="M55" s="27">
        <v>12408</v>
      </c>
      <c r="N55" s="26">
        <f t="shared" si="4"/>
        <v>932760.70</v>
      </c>
      <c r="O55" s="21">
        <f t="shared" si="17"/>
        <v>5.72942556918807E-4</v>
      </c>
      <c r="P55" s="28">
        <f t="shared" si="9"/>
        <v>1.890710437832063E-4</v>
      </c>
      <c r="Q55" s="27">
        <v>0</v>
      </c>
      <c r="R55" s="27">
        <v>0</v>
      </c>
      <c r="S55" s="26">
        <f t="shared" si="21"/>
        <v>0</v>
      </c>
      <c r="T55" s="24">
        <f t="shared" si="22"/>
        <v>0</v>
      </c>
      <c r="U55" s="24">
        <f t="shared" si="23"/>
        <v>0</v>
      </c>
      <c r="V55" s="24">
        <f t="shared" si="24"/>
        <v>1.9434616125287523E-4</v>
      </c>
      <c r="W55" s="25">
        <f t="shared" si="25"/>
        <v>8.745577256379385E-6</v>
      </c>
      <c r="X55" s="24">
        <f t="shared" si="26"/>
        <v>0</v>
      </c>
      <c r="Y55" s="37">
        <v>55.489157746077</v>
      </c>
      <c r="Z55" s="74">
        <f t="shared" si="11"/>
        <v>4053.500708347174</v>
      </c>
      <c r="AA55" s="22">
        <f t="shared" si="12"/>
        <v>0.0017553753938917176</v>
      </c>
      <c r="AB55" s="22">
        <f t="shared" si="27"/>
        <v>4.3884384847292945E-5</v>
      </c>
      <c r="AC55" s="22">
        <f t="shared" si="28"/>
        <v>0.0025471698113207547</v>
      </c>
      <c r="AD55" s="80">
        <f t="shared" si="29"/>
        <v>0.0035456405643596598</v>
      </c>
      <c r="AE55" s="72"/>
    </row>
    <row r="56" spans="1:31" s="6" customFormat="1" ht="16.15" customHeight="1">
      <c r="A56" s="18" t="s">
        <v>287</v>
      </c>
      <c r="B56" s="32">
        <v>52</v>
      </c>
      <c r="C56" s="33" t="s">
        <v>287</v>
      </c>
      <c r="D56" s="23">
        <v>37804</v>
      </c>
      <c r="E56" s="30">
        <f t="shared" si="19"/>
        <v>0.01628852280453514</v>
      </c>
      <c r="F56" s="30">
        <f t="shared" si="20"/>
        <v>0.01042465459490249</v>
      </c>
      <c r="G56" s="27">
        <v>817534.17</v>
      </c>
      <c r="H56" s="27">
        <v>4136638.31</v>
      </c>
      <c r="I56" s="26">
        <f t="shared" si="2"/>
        <v>4954172.48</v>
      </c>
      <c r="J56" s="29">
        <f t="shared" si="16"/>
        <v>0.003957694152469366</v>
      </c>
      <c r="K56" s="29">
        <f t="shared" si="3"/>
        <v>0.0013060390703148908</v>
      </c>
      <c r="L56" s="27">
        <v>1794354.82</v>
      </c>
      <c r="M56" s="27">
        <v>3226547.25</v>
      </c>
      <c r="N56" s="26">
        <f t="shared" si="4"/>
        <v>5020902.07</v>
      </c>
      <c r="O56" s="21">
        <f t="shared" si="17"/>
        <v>0.003084058397855668</v>
      </c>
      <c r="P56" s="28">
        <f t="shared" si="9"/>
        <v>0.0010177392712923704</v>
      </c>
      <c r="Q56" s="27">
        <v>2258725.44</v>
      </c>
      <c r="R56" s="27">
        <v>3753385.19</v>
      </c>
      <c r="S56" s="26">
        <f t="shared" si="21"/>
        <v>6012110.63</v>
      </c>
      <c r="T56" s="24">
        <f t="shared" si="22"/>
        <v>0.0031223521870499464</v>
      </c>
      <c r="U56" s="24">
        <f t="shared" si="23"/>
        <v>0.0010615997435969818</v>
      </c>
      <c r="V56" s="24">
        <f t="shared" si="24"/>
        <v>0.0033853780852042426</v>
      </c>
      <c r="W56" s="25">
        <f t="shared" si="25"/>
        <v>1.523420138341909E-4</v>
      </c>
      <c r="X56" s="24">
        <f t="shared" si="26"/>
        <v>6.244704374099893E-5</v>
      </c>
      <c r="Y56" s="37">
        <v>55.3838778121845</v>
      </c>
      <c r="Z56" s="74">
        <f t="shared" si="11"/>
        <v>45255.44779219856</v>
      </c>
      <c r="AA56" s="22">
        <f t="shared" si="12"/>
        <v>0.019597948837257906</v>
      </c>
      <c r="AB56" s="22">
        <f t="shared" si="27"/>
        <v>4.899487209314477E-4</v>
      </c>
      <c r="AC56" s="22">
        <f t="shared" si="28"/>
        <v>0.0025471698113207547</v>
      </c>
      <c r="AD56" s="80">
        <f t="shared" si="29"/>
        <v>0.01367656218472988</v>
      </c>
      <c r="AE56" s="72"/>
    </row>
    <row r="57" spans="1:31" s="6" customFormat="1" ht="16.15" customHeight="1">
      <c r="A57" s="18" t="s">
        <v>288</v>
      </c>
      <c r="B57" s="32">
        <v>53</v>
      </c>
      <c r="C57" s="31" t="s">
        <v>288</v>
      </c>
      <c r="D57" s="23">
        <v>13494</v>
      </c>
      <c r="E57" s="30">
        <f t="shared" si="19"/>
        <v>0.005814128841508761</v>
      </c>
      <c r="F57" s="30">
        <f t="shared" si="20"/>
        <v>0.0037210424585656073</v>
      </c>
      <c r="G57" s="27">
        <v>132395.34</v>
      </c>
      <c r="H57" s="27">
        <v>96550</v>
      </c>
      <c r="I57" s="26">
        <f t="shared" si="2"/>
        <v>228945.34</v>
      </c>
      <c r="J57" s="29">
        <f t="shared" si="16"/>
        <v>1.8289545570143547E-4</v>
      </c>
      <c r="K57" s="29">
        <f t="shared" si="3"/>
        <v>6.0355500381473704E-5</v>
      </c>
      <c r="L57" s="27">
        <v>89006.56</v>
      </c>
      <c r="M57" s="27">
        <v>287828</v>
      </c>
      <c r="N57" s="26">
        <f t="shared" si="4"/>
        <v>376834.56</v>
      </c>
      <c r="O57" s="21">
        <f t="shared" si="17"/>
        <v>2.3146832444996193E-4</v>
      </c>
      <c r="P57" s="28">
        <f t="shared" si="9"/>
        <v>7.638454706848744E-5</v>
      </c>
      <c r="Q57" s="27">
        <v>66663.25</v>
      </c>
      <c r="R57" s="27">
        <v>209049</v>
      </c>
      <c r="S57" s="26">
        <f t="shared" si="21"/>
        <v>275712.25</v>
      </c>
      <c r="T57" s="24">
        <f t="shared" si="22"/>
        <v>1.4318943874523505E-4</v>
      </c>
      <c r="U57" s="24">
        <f t="shared" si="23"/>
        <v>4.868440917337992E-5</v>
      </c>
      <c r="V57" s="24">
        <f t="shared" si="24"/>
        <v>1.8542445662334106E-4</v>
      </c>
      <c r="W57" s="25">
        <f t="shared" si="25"/>
        <v>8.344100548050348E-6</v>
      </c>
      <c r="X57" s="24">
        <f t="shared" si="26"/>
        <v>2.8637887749047012E-6</v>
      </c>
      <c r="Y57" s="37">
        <v>55.2898211359705</v>
      </c>
      <c r="Z57" s="74">
        <f t="shared" si="11"/>
        <v>16338.562762880752</v>
      </c>
      <c r="AA57" s="22">
        <f t="shared" si="12"/>
        <v>0.007075442465436455</v>
      </c>
      <c r="AB57" s="22">
        <f t="shared" si="27"/>
        <v>1.768860616359114E-4</v>
      </c>
      <c r="AC57" s="22">
        <f t="shared" si="28"/>
        <v>0.0025471698113207547</v>
      </c>
      <c r="AD57" s="80">
        <f t="shared" si="29"/>
        <v>0.006456306220845229</v>
      </c>
      <c r="AE57" s="72"/>
    </row>
    <row r="58" spans="1:31" s="6" customFormat="1" ht="16.15" customHeight="1">
      <c r="A58" s="18" t="s">
        <v>289</v>
      </c>
      <c r="B58" s="32">
        <v>54</v>
      </c>
      <c r="C58" s="31" t="s">
        <v>289</v>
      </c>
      <c r="D58" s="23">
        <v>2990</v>
      </c>
      <c r="E58" s="30">
        <f t="shared" si="19"/>
        <v>0.0012882944446503035</v>
      </c>
      <c r="F58" s="30">
        <f t="shared" si="20"/>
        <v>8.245084445761943E-4</v>
      </c>
      <c r="G58" s="27">
        <v>34082.02</v>
      </c>
      <c r="H58" s="27">
        <v>0</v>
      </c>
      <c r="I58" s="26">
        <f t="shared" si="2"/>
        <v>34082.02</v>
      </c>
      <c r="J58" s="29">
        <f t="shared" si="16"/>
        <v>2.7226789499735776E-5</v>
      </c>
      <c r="K58" s="29">
        <f t="shared" si="3"/>
        <v>8.984840534912806E-6</v>
      </c>
      <c r="L58" s="27">
        <v>266164.03</v>
      </c>
      <c r="M58" s="27">
        <v>2000</v>
      </c>
      <c r="N58" s="26">
        <f t="shared" si="4"/>
        <v>268164.03</v>
      </c>
      <c r="O58" s="21">
        <f t="shared" si="17"/>
        <v>1.6471811582740534E-4</v>
      </c>
      <c r="P58" s="28">
        <f t="shared" si="9"/>
        <v>5.4356978223043766E-5</v>
      </c>
      <c r="Q58" s="27">
        <v>52408.25</v>
      </c>
      <c r="R58" s="27">
        <v>2000</v>
      </c>
      <c r="S58" s="26">
        <f t="shared" si="21"/>
        <v>54408.25</v>
      </c>
      <c r="T58" s="24">
        <f t="shared" si="22"/>
        <v>2.825658555472394E-5</v>
      </c>
      <c r="U58" s="24">
        <f t="shared" si="23"/>
        <v>9.60723908860614E-6</v>
      </c>
      <c r="V58" s="24">
        <f t="shared" si="24"/>
        <v>7.294905784656271E-5</v>
      </c>
      <c r="W58" s="25">
        <f t="shared" si="25"/>
        <v>3.2827076030953218E-6</v>
      </c>
      <c r="X58" s="24">
        <f t="shared" si="26"/>
        <v>5.651317110944788E-7</v>
      </c>
      <c r="Y58" s="37">
        <v>53.9250031289327</v>
      </c>
      <c r="Z58" s="74">
        <f t="shared" si="11"/>
        <v>4214.46343783792</v>
      </c>
      <c r="AA58" s="22">
        <f t="shared" si="12"/>
        <v>0.0018250805783758012</v>
      </c>
      <c r="AB58" s="22">
        <f t="shared" si="27"/>
        <v>4.5627014459395035E-5</v>
      </c>
      <c r="AC58" s="22">
        <f t="shared" si="28"/>
        <v>0.0025471698113207547</v>
      </c>
      <c r="AD58" s="80">
        <f t="shared" si="29"/>
        <v>0.0034211531096705336</v>
      </c>
      <c r="AE58" s="72"/>
    </row>
    <row r="59" spans="1:31" s="6" customFormat="1" ht="16.15" customHeight="1">
      <c r="A59" s="18" t="s">
        <v>366</v>
      </c>
      <c r="B59" s="32">
        <v>55</v>
      </c>
      <c r="C59" s="31" t="s">
        <v>290</v>
      </c>
      <c r="D59" s="23">
        <v>7080</v>
      </c>
      <c r="E59" s="30">
        <f t="shared" si="19"/>
        <v>0.0030505433672656014</v>
      </c>
      <c r="F59" s="30">
        <f t="shared" si="20"/>
        <v>0.0019523477550499849</v>
      </c>
      <c r="G59" s="27">
        <v>43208</v>
      </c>
      <c r="H59" s="27">
        <v>7716</v>
      </c>
      <c r="I59" s="26">
        <f t="shared" si="2"/>
        <v>50924</v>
      </c>
      <c r="J59" s="29">
        <f t="shared" si="16"/>
        <v>4.068118698611599E-5</v>
      </c>
      <c r="K59" s="29">
        <f t="shared" si="3"/>
        <v>1.3424791705418277E-5</v>
      </c>
      <c r="L59" s="27">
        <v>60812</v>
      </c>
      <c r="M59" s="27">
        <v>0</v>
      </c>
      <c r="N59" s="26">
        <f t="shared" si="4"/>
        <v>60812</v>
      </c>
      <c r="O59" s="21">
        <f t="shared" si="17"/>
        <v>3.735339918517846E-5</v>
      </c>
      <c r="P59" s="28">
        <f t="shared" si="9"/>
        <v>1.2326621731108893E-5</v>
      </c>
      <c r="Q59" s="27">
        <v>107136</v>
      </c>
      <c r="R59" s="27">
        <v>0</v>
      </c>
      <c r="S59" s="26">
        <f t="shared" si="21"/>
        <v>107136</v>
      </c>
      <c r="T59" s="24">
        <f t="shared" si="22"/>
        <v>5.564041390765011E-5</v>
      </c>
      <c r="U59" s="24">
        <f t="shared" si="23"/>
        <v>1.8917740728601037E-5</v>
      </c>
      <c r="V59" s="24">
        <f t="shared" si="24"/>
        <v>4.466915416512821E-5</v>
      </c>
      <c r="W59" s="25">
        <f t="shared" si="25"/>
        <v>2.0101119374307692E-6</v>
      </c>
      <c r="X59" s="24">
        <f t="shared" si="26"/>
        <v>1.1128082781530022E-6</v>
      </c>
      <c r="Y59" s="37">
        <v>53.7479749863579</v>
      </c>
      <c r="Z59" s="74">
        <f t="shared" si="11"/>
        <v>10161.887481262924</v>
      </c>
      <c r="AA59" s="22">
        <f t="shared" si="12"/>
        <v>0.004400622702093638</v>
      </c>
      <c r="AB59" s="22">
        <f t="shared" si="27"/>
        <v>1.1001556755234096E-4</v>
      </c>
      <c r="AC59" s="22">
        <f t="shared" si="28"/>
        <v>0.0025471698113207547</v>
      </c>
      <c r="AD59" s="80">
        <f t="shared" si="29"/>
        <v>0.004612656054138664</v>
      </c>
      <c r="AE59" s="72"/>
    </row>
    <row r="60" spans="1:31" s="6" customFormat="1" ht="16.15" customHeight="1">
      <c r="A60" s="18" t="s">
        <v>291</v>
      </c>
      <c r="B60" s="32">
        <v>56</v>
      </c>
      <c r="C60" s="31" t="s">
        <v>291</v>
      </c>
      <c r="D60" s="23">
        <v>33854</v>
      </c>
      <c r="E60" s="30">
        <f t="shared" si="19"/>
        <v>0.01458659536093357</v>
      </c>
      <c r="F60" s="30">
        <f t="shared" si="20"/>
        <v>0.009335421030997486</v>
      </c>
      <c r="G60" s="27">
        <v>628382</v>
      </c>
      <c r="H60" s="27">
        <v>1454752</v>
      </c>
      <c r="I60" s="26">
        <f t="shared" si="2"/>
        <v>2083134</v>
      </c>
      <c r="J60" s="29">
        <f t="shared" si="16"/>
        <v>0.001664134077667421</v>
      </c>
      <c r="K60" s="29">
        <f t="shared" si="3"/>
        <v>5.49164245630249E-4</v>
      </c>
      <c r="L60" s="27">
        <v>2559769.27</v>
      </c>
      <c r="M60" s="27">
        <v>2984963.30</v>
      </c>
      <c r="N60" s="26">
        <f t="shared" si="4"/>
        <v>5544732.57</v>
      </c>
      <c r="O60" s="21">
        <f t="shared" si="17"/>
        <v>0.0034058180796926675</v>
      </c>
      <c r="P60" s="28">
        <f t="shared" si="9"/>
        <v>0.0011239199662985803</v>
      </c>
      <c r="Q60" s="27">
        <v>2200956.50</v>
      </c>
      <c r="R60" s="27">
        <v>2395640</v>
      </c>
      <c r="S60" s="26">
        <f t="shared" si="21"/>
        <v>4596596.50</v>
      </c>
      <c r="T60" s="24">
        <f t="shared" si="22"/>
        <v>0.0023872137453932927</v>
      </c>
      <c r="U60" s="24">
        <f t="shared" si="23"/>
        <v>8.116526734337195E-4</v>
      </c>
      <c r="V60" s="24">
        <f t="shared" si="24"/>
        <v>0.002484736885362549</v>
      </c>
      <c r="W60" s="25">
        <f t="shared" si="25"/>
        <v>1.118131598413147E-4</v>
      </c>
      <c r="X60" s="24">
        <f t="shared" si="26"/>
        <v>4.7744274907865856E-5</v>
      </c>
      <c r="Y60" s="37">
        <v>53.4986471068607</v>
      </c>
      <c r="Z60" s="74">
        <f t="shared" si="11"/>
        <v>49819.444202935534</v>
      </c>
      <c r="AA60" s="22">
        <f t="shared" si="12"/>
        <v>0.021574395265580977</v>
      </c>
      <c r="AB60" s="22">
        <f t="shared" si="27"/>
        <v>5.393598816395244E-4</v>
      </c>
      <c r="AC60" s="22">
        <f t="shared" si="28"/>
        <v>0.0025471698113207547</v>
      </c>
      <c r="AD60" s="80">
        <f t="shared" si="29"/>
        <v>0.012581508158706945</v>
      </c>
      <c r="AE60" s="72"/>
    </row>
    <row r="61" spans="1:31" s="6" customFormat="1" ht="16.15" customHeight="1">
      <c r="A61" s="18" t="s">
        <v>367</v>
      </c>
      <c r="B61" s="32">
        <v>57</v>
      </c>
      <c r="C61" s="31" t="s">
        <v>292</v>
      </c>
      <c r="D61" s="23">
        <v>7766</v>
      </c>
      <c r="E61" s="30">
        <f t="shared" si="19"/>
        <v>0.0033461186144328617</v>
      </c>
      <c r="F61" s="30">
        <f t="shared" si="20"/>
        <v>0.0021415159132370317</v>
      </c>
      <c r="G61" s="27">
        <v>262459</v>
      </c>
      <c r="H61" s="27">
        <v>250073</v>
      </c>
      <c r="I61" s="26">
        <f t="shared" si="2"/>
        <v>512532</v>
      </c>
      <c r="J61" s="29">
        <f t="shared" si="16"/>
        <v>4.0944171958934885E-4</v>
      </c>
      <c r="K61" s="29">
        <f t="shared" si="3"/>
        <v>1.3511576746448513E-4</v>
      </c>
      <c r="L61" s="27">
        <v>382979</v>
      </c>
      <c r="M61" s="27">
        <v>293396</v>
      </c>
      <c r="N61" s="26">
        <f t="shared" si="4"/>
        <v>676375</v>
      </c>
      <c r="O61" s="21">
        <f t="shared" si="17"/>
        <v>4.1545920827920613E-4</v>
      </c>
      <c r="P61" s="28">
        <f t="shared" si="9"/>
        <v>1.3710153873213804E-4</v>
      </c>
      <c r="Q61" s="27">
        <v>337176</v>
      </c>
      <c r="R61" s="27">
        <v>285325</v>
      </c>
      <c r="S61" s="26">
        <f t="shared" si="21"/>
        <v>622501</v>
      </c>
      <c r="T61" s="24">
        <f t="shared" si="22"/>
        <v>3.2329201480292433E-4</v>
      </c>
      <c r="U61" s="24">
        <f t="shared" si="23"/>
        <v>1.0991928503299428E-4</v>
      </c>
      <c r="V61" s="24">
        <f t="shared" si="24"/>
        <v>3.8213659122961744E-4</v>
      </c>
      <c r="W61" s="25">
        <f t="shared" si="25"/>
        <v>1.7196146605332786E-5</v>
      </c>
      <c r="X61" s="24">
        <f t="shared" si="26"/>
        <v>6.465840296058486E-6</v>
      </c>
      <c r="Y61" s="37">
        <v>54.5529252086478</v>
      </c>
      <c r="Z61" s="74">
        <f t="shared" si="11"/>
        <v>10236.318699995747</v>
      </c>
      <c r="AA61" s="22">
        <f t="shared" si="12"/>
        <v>0.004432855268288068</v>
      </c>
      <c r="AB61" s="22">
        <f t="shared" si="27"/>
        <v>1.1082138170720171E-4</v>
      </c>
      <c r="AC61" s="22">
        <f t="shared" si="28"/>
        <v>0.0025471698113207547</v>
      </c>
      <c r="AD61" s="80">
        <f t="shared" si="29"/>
        <v>0.0048231690931663795</v>
      </c>
      <c r="AE61" s="72"/>
    </row>
    <row r="62" spans="1:31" s="6" customFormat="1" ht="16.15" customHeight="1">
      <c r="A62" s="18" t="s">
        <v>293</v>
      </c>
      <c r="B62" s="32">
        <v>58</v>
      </c>
      <c r="C62" s="31" t="s">
        <v>293</v>
      </c>
      <c r="D62" s="23">
        <v>25954</v>
      </c>
      <c r="E62" s="30">
        <f t="shared" si="19"/>
        <v>0.011182740473730426</v>
      </c>
      <c r="F62" s="30">
        <f t="shared" si="20"/>
        <v>0.007156953903187473</v>
      </c>
      <c r="G62" s="27">
        <v>903072</v>
      </c>
      <c r="H62" s="27">
        <v>708659.50</v>
      </c>
      <c r="I62" s="26">
        <f t="shared" si="2"/>
        <v>1611731.50</v>
      </c>
      <c r="J62" s="29">
        <f t="shared" si="16"/>
        <v>0.001287549103034192</v>
      </c>
      <c r="K62" s="29">
        <f t="shared" si="3"/>
        <v>4.248912040012834E-4</v>
      </c>
      <c r="L62" s="27">
        <v>1100162.6</v>
      </c>
      <c r="M62" s="27">
        <v>1121262.50</v>
      </c>
      <c r="N62" s="26">
        <f t="shared" si="4"/>
        <v>2221425.10</v>
      </c>
      <c r="O62" s="21">
        <f t="shared" si="17"/>
        <v>0.0013644967855073833</v>
      </c>
      <c r="P62" s="28">
        <f t="shared" si="9"/>
        <v>4.502839392174365E-4</v>
      </c>
      <c r="Q62" s="27">
        <v>661995</v>
      </c>
      <c r="R62" s="27">
        <v>688815.50</v>
      </c>
      <c r="S62" s="26">
        <f t="shared" si="21"/>
        <v>1350810.50</v>
      </c>
      <c r="T62" s="24">
        <f t="shared" si="22"/>
        <v>7.015350146617364E-4</v>
      </c>
      <c r="U62" s="24">
        <f t="shared" si="23"/>
        <v>2.385219049849904E-4</v>
      </c>
      <c r="V62" s="24">
        <f t="shared" si="24"/>
        <v>0.0011136970482037104</v>
      </c>
      <c r="W62" s="25">
        <f t="shared" si="25"/>
        <v>5.0116367169166964E-5</v>
      </c>
      <c r="X62" s="24">
        <f t="shared" si="26"/>
        <v>1.4030700293234728E-5</v>
      </c>
      <c r="Y62" s="37">
        <v>53.4322397498304</v>
      </c>
      <c r="Z62" s="74">
        <f t="shared" si="11"/>
        <v>38444.77497199045</v>
      </c>
      <c r="AA62" s="22">
        <f t="shared" si="12"/>
        <v>0.01664857535871836</v>
      </c>
      <c r="AB62" s="22">
        <f t="shared" si="27"/>
        <v>4.1621438396795903E-4</v>
      </c>
      <c r="AC62" s="22">
        <f t="shared" si="28"/>
        <v>0.0025471698113207547</v>
      </c>
      <c r="AD62" s="80">
        <f t="shared" si="29"/>
        <v>0.01018448516593859</v>
      </c>
      <c r="AE62" s="72"/>
    </row>
    <row r="63" spans="1:31" s="6" customFormat="1" ht="16.15" customHeight="1">
      <c r="A63" s="18" t="s">
        <v>294</v>
      </c>
      <c r="B63" s="32">
        <v>59</v>
      </c>
      <c r="C63" s="33" t="s">
        <v>294</v>
      </c>
      <c r="D63" s="23">
        <v>66008</v>
      </c>
      <c r="E63" s="30">
        <f t="shared" si="19"/>
        <v>0.0284407156195576</v>
      </c>
      <c r="F63" s="30">
        <f t="shared" si="20"/>
        <v>0.018202057996516866</v>
      </c>
      <c r="G63" s="27">
        <v>2.40427825E7</v>
      </c>
      <c r="H63" s="27">
        <v>3.485053963E7</v>
      </c>
      <c r="I63" s="26">
        <f t="shared" si="2"/>
        <v>5.889332213E7</v>
      </c>
      <c r="J63" s="29">
        <f t="shared" si="16"/>
        <v>0.04704756597683004</v>
      </c>
      <c r="K63" s="29">
        <f t="shared" si="3"/>
        <v>0.015525696772353914</v>
      </c>
      <c r="L63" s="27">
        <v>2.649608559E7</v>
      </c>
      <c r="M63" s="27">
        <v>3.970804916E7</v>
      </c>
      <c r="N63" s="26">
        <f t="shared" si="4"/>
        <v>6.620413475E7</v>
      </c>
      <c r="O63" s="21">
        <f t="shared" si="17"/>
        <v>0.04066548498694493</v>
      </c>
      <c r="P63" s="28">
        <f t="shared" si="9"/>
        <v>0.013419610045691827</v>
      </c>
      <c r="Q63" s="27">
        <v>3.405783023E7</v>
      </c>
      <c r="R63" s="27">
        <v>4.358971708E7</v>
      </c>
      <c r="S63" s="26">
        <f t="shared" si="21"/>
        <v>7.764754731E7</v>
      </c>
      <c r="T63" s="24">
        <f t="shared" si="22"/>
        <v>0.04032576978086025</v>
      </c>
      <c r="U63" s="24">
        <f t="shared" si="23"/>
        <v>0.013710761725492486</v>
      </c>
      <c r="V63" s="24">
        <f t="shared" si="24"/>
        <v>0.04265606854353823</v>
      </c>
      <c r="W63" s="25">
        <f t="shared" si="25"/>
        <v>0.0019195230844592202</v>
      </c>
      <c r="X63" s="24">
        <f t="shared" si="26"/>
        <v>8.06515395617205E-4</v>
      </c>
      <c r="Y63" s="37">
        <v>57.6372012213706</v>
      </c>
      <c r="Z63" s="74">
        <f t="shared" si="11"/>
        <v>57362.5033311343</v>
      </c>
      <c r="AA63" s="22">
        <f t="shared" si="12"/>
        <v>0.024840929883681348</v>
      </c>
      <c r="AB63" s="22">
        <f t="shared" si="27"/>
        <v>6.210232470920337E-4</v>
      </c>
      <c r="AC63" s="22">
        <f t="shared" si="28"/>
        <v>0.0025471698113207547</v>
      </c>
      <c r="AD63" s="80">
        <f t="shared" si="29"/>
        <v>0.02409628953500608</v>
      </c>
      <c r="AE63" s="72"/>
    </row>
    <row r="64" spans="1:31" s="6" customFormat="1" ht="16.15" customHeight="1">
      <c r="A64" s="18" t="s">
        <v>295</v>
      </c>
      <c r="B64" s="32">
        <v>60</v>
      </c>
      <c r="C64" s="31" t="s">
        <v>295</v>
      </c>
      <c r="D64" s="23">
        <v>976</v>
      </c>
      <c r="E64" s="30">
        <f t="shared" si="19"/>
        <v>4.205268822671225E-4</v>
      </c>
      <c r="F64" s="30">
        <f t="shared" si="20"/>
        <v>2.691372046509584E-4</v>
      </c>
      <c r="G64" s="27">
        <v>7092</v>
      </c>
      <c r="H64" s="27">
        <v>0</v>
      </c>
      <c r="I64" s="26">
        <f t="shared" si="2"/>
        <v>7092</v>
      </c>
      <c r="J64" s="29">
        <f t="shared" si="16"/>
        <v>5.665520738856621E-6</v>
      </c>
      <c r="K64" s="29">
        <f t="shared" si="3"/>
        <v>1.869621843822685E-6</v>
      </c>
      <c r="L64" s="27">
        <v>0</v>
      </c>
      <c r="M64" s="27">
        <v>0</v>
      </c>
      <c r="N64" s="26">
        <f t="shared" si="4"/>
        <v>0</v>
      </c>
      <c r="O64" s="21">
        <f t="shared" si="17"/>
        <v>0</v>
      </c>
      <c r="P64" s="28">
        <f t="shared" si="9"/>
        <v>0</v>
      </c>
      <c r="Q64" s="27">
        <v>0</v>
      </c>
      <c r="R64" s="27">
        <v>0</v>
      </c>
      <c r="S64" s="26">
        <f t="shared" si="21"/>
        <v>0</v>
      </c>
      <c r="T64" s="24">
        <f t="shared" si="22"/>
        <v>0</v>
      </c>
      <c r="U64" s="24">
        <f t="shared" si="23"/>
        <v>0</v>
      </c>
      <c r="V64" s="24">
        <f t="shared" si="24"/>
        <v>1.869621843822685E-6</v>
      </c>
      <c r="W64" s="25">
        <f t="shared" si="25"/>
        <v>8.413298297202082E-8</v>
      </c>
      <c r="X64" s="24">
        <f t="shared" si="26"/>
        <v>0</v>
      </c>
      <c r="Y64" s="37">
        <v>53.3604242980965</v>
      </c>
      <c r="Z64" s="74">
        <f t="shared" si="11"/>
        <v>1455.9208888644173</v>
      </c>
      <c r="AA64" s="22">
        <f t="shared" si="12"/>
        <v>6.304890235994666E-4</v>
      </c>
      <c r="AB64" s="22">
        <f t="shared" si="27"/>
        <v>1.5762225589986665E-5</v>
      </c>
      <c r="AC64" s="22">
        <f t="shared" si="28"/>
        <v>0.0025471698113207547</v>
      </c>
      <c r="AD64" s="80">
        <f t="shared" si="29"/>
        <v>0.0028321533745446718</v>
      </c>
      <c r="AE64" s="72"/>
    </row>
    <row r="65" spans="1:31" s="6" customFormat="1" ht="16.15" customHeight="1">
      <c r="A65" s="18" t="s">
        <v>368</v>
      </c>
      <c r="B65" s="32">
        <v>61</v>
      </c>
      <c r="C65" s="31" t="s">
        <v>296</v>
      </c>
      <c r="D65" s="23">
        <v>3974</v>
      </c>
      <c r="E65" s="30">
        <f t="shared" si="19"/>
        <v>0.0017122682685753532</v>
      </c>
      <c r="F65" s="30">
        <f t="shared" si="20"/>
        <v>0.001095851691888226</v>
      </c>
      <c r="G65" s="27">
        <v>325191.34</v>
      </c>
      <c r="H65" s="27">
        <v>55258</v>
      </c>
      <c r="I65" s="26">
        <f t="shared" si="2"/>
        <v>380449.34</v>
      </c>
      <c r="J65" s="29">
        <f t="shared" si="16"/>
        <v>3.039260611751712E-4</v>
      </c>
      <c r="K65" s="29">
        <f t="shared" si="3"/>
        <v>1.002956001878065E-4</v>
      </c>
      <c r="L65" s="27">
        <v>361571.56</v>
      </c>
      <c r="M65" s="27">
        <v>43305</v>
      </c>
      <c r="N65" s="26">
        <f t="shared" si="4"/>
        <v>404876.56</v>
      </c>
      <c r="O65" s="21">
        <f t="shared" si="17"/>
        <v>2.4869295149644577E-4</v>
      </c>
      <c r="P65" s="28">
        <f t="shared" si="9"/>
        <v>8.206867399382711E-5</v>
      </c>
      <c r="Q65" s="27">
        <v>1309879.35</v>
      </c>
      <c r="R65" s="27">
        <v>31860</v>
      </c>
      <c r="S65" s="26">
        <f t="shared" si="21"/>
        <v>1341739.35</v>
      </c>
      <c r="T65" s="24">
        <f t="shared" si="22"/>
        <v>6.968239694424042E-4</v>
      </c>
      <c r="U65" s="24">
        <f t="shared" si="23"/>
        <v>2.3692014961041745E-4</v>
      </c>
      <c r="V65" s="24">
        <f t="shared" si="24"/>
        <v>4.1928442379205106E-4</v>
      </c>
      <c r="W65" s="25">
        <f t="shared" si="25"/>
        <v>1.8867799070642297E-5</v>
      </c>
      <c r="X65" s="24">
        <f t="shared" si="26"/>
        <v>1.3936479388848085E-5</v>
      </c>
      <c r="Y65" s="37">
        <v>54.1858680286034</v>
      </c>
      <c r="Z65" s="74">
        <f t="shared" si="11"/>
        <v>5450.490482150455</v>
      </c>
      <c r="AA65" s="22">
        <f t="shared" si="12"/>
        <v>0.002360344197622985</v>
      </c>
      <c r="AB65" s="22">
        <f t="shared" si="27"/>
        <v>5.900860494057463E-5</v>
      </c>
      <c r="AC65" s="22">
        <f t="shared" si="28"/>
        <v>0.0025471698113207547</v>
      </c>
      <c r="AD65" s="80">
        <f t="shared" si="29"/>
        <v>0.0037348343866090454</v>
      </c>
      <c r="AE65" s="72"/>
    </row>
    <row r="66" spans="1:31" s="6" customFormat="1" ht="16.15" customHeight="1">
      <c r="A66" s="18" t="s">
        <v>297</v>
      </c>
      <c r="B66" s="32">
        <v>62</v>
      </c>
      <c r="C66" s="31" t="s">
        <v>297</v>
      </c>
      <c r="D66" s="23">
        <v>4962</v>
      </c>
      <c r="E66" s="30">
        <f t="shared" si="19"/>
        <v>0.0021379655633293666</v>
      </c>
      <c r="F66" s="30">
        <f t="shared" si="20"/>
        <v>0.0013682979605307945</v>
      </c>
      <c r="G66" s="27">
        <v>83840</v>
      </c>
      <c r="H66" s="27">
        <v>20662</v>
      </c>
      <c r="I66" s="26">
        <f t="shared" si="2"/>
        <v>104502</v>
      </c>
      <c r="J66" s="29">
        <f t="shared" si="16"/>
        <v>8.348255051494567E-5</v>
      </c>
      <c r="K66" s="29">
        <f t="shared" si="3"/>
        <v>2.7549241669932072E-5</v>
      </c>
      <c r="L66" s="27">
        <v>42638</v>
      </c>
      <c r="M66" s="27">
        <v>62418</v>
      </c>
      <c r="N66" s="26">
        <f t="shared" si="4"/>
        <v>105056</v>
      </c>
      <c r="O66" s="21">
        <f t="shared" si="17"/>
        <v>6.453000566990246E-5</v>
      </c>
      <c r="P66" s="28">
        <f t="shared" si="9"/>
        <v>2.1294901871067813E-5</v>
      </c>
      <c r="Q66" s="27">
        <v>31021</v>
      </c>
      <c r="R66" s="27">
        <v>31756</v>
      </c>
      <c r="S66" s="26">
        <f t="shared" si="21"/>
        <v>62777</v>
      </c>
      <c r="T66" s="24">
        <f t="shared" si="22"/>
        <v>3.2602843711549346E-5</v>
      </c>
      <c r="U66" s="24">
        <f t="shared" si="23"/>
        <v>1.1084966861926778E-5</v>
      </c>
      <c r="V66" s="24">
        <f t="shared" si="24"/>
        <v>5.992911040292666E-5</v>
      </c>
      <c r="W66" s="25">
        <f t="shared" si="25"/>
        <v>2.6968099681316996E-6</v>
      </c>
      <c r="X66" s="24">
        <f t="shared" si="26"/>
        <v>6.52056874230987E-7</v>
      </c>
      <c r="Y66" s="37">
        <v>53.8611209868849</v>
      </c>
      <c r="Z66" s="74">
        <f t="shared" si="11"/>
        <v>7040.188731744027</v>
      </c>
      <c r="AA66" s="22">
        <f t="shared" si="12"/>
        <v>0.0030487657354070826</v>
      </c>
      <c r="AB66" s="22">
        <f t="shared" si="27"/>
        <v>7.621914338517707E-5</v>
      </c>
      <c r="AC66" s="22">
        <f t="shared" si="28"/>
        <v>0.0025471698113207547</v>
      </c>
      <c r="AD66" s="80">
        <f t="shared" si="29"/>
        <v>0.003995035782079089</v>
      </c>
      <c r="AE66" s="72"/>
    </row>
    <row r="67" spans="1:31" s="6" customFormat="1" ht="16.15" customHeight="1">
      <c r="A67" s="18" t="s">
        <v>298</v>
      </c>
      <c r="B67" s="32">
        <v>63</v>
      </c>
      <c r="C67" s="31" t="s">
        <v>298</v>
      </c>
      <c r="D67" s="23">
        <v>5631</v>
      </c>
      <c r="E67" s="30">
        <f t="shared" si="19"/>
        <v>0.0024262160594735313</v>
      </c>
      <c r="F67" s="30">
        <f t="shared" si="20"/>
        <v>0.00155277827806306</v>
      </c>
      <c r="G67" s="27">
        <v>57225</v>
      </c>
      <c r="H67" s="27">
        <v>530</v>
      </c>
      <c r="I67" s="26">
        <f t="shared" si="2"/>
        <v>57755</v>
      </c>
      <c r="J67" s="29">
        <f t="shared" si="16"/>
        <v>4.613820505818728E-5</v>
      </c>
      <c r="K67" s="29">
        <f t="shared" si="3"/>
        <v>1.5225607669201803E-5</v>
      </c>
      <c r="L67" s="27">
        <v>154037.19</v>
      </c>
      <c r="M67" s="27">
        <v>0</v>
      </c>
      <c r="N67" s="26">
        <f t="shared" si="4"/>
        <v>154037.19</v>
      </c>
      <c r="O67" s="21">
        <f t="shared" si="17"/>
        <v>9.461640214814806E-5</v>
      </c>
      <c r="P67" s="28">
        <f t="shared" si="9"/>
        <v>3.122341270888886E-5</v>
      </c>
      <c r="Q67" s="27">
        <v>158363.19</v>
      </c>
      <c r="R67" s="27">
        <v>0</v>
      </c>
      <c r="S67" s="26">
        <f t="shared" si="21"/>
        <v>158363.19</v>
      </c>
      <c r="T67" s="24">
        <f t="shared" si="22"/>
        <v>8.224493577635749E-5</v>
      </c>
      <c r="U67" s="24">
        <f t="shared" si="23"/>
        <v>2.796327816396155E-5</v>
      </c>
      <c r="V67" s="24">
        <f t="shared" si="24"/>
        <v>7.441229854205222E-5</v>
      </c>
      <c r="W67" s="25">
        <f t="shared" si="25"/>
        <v>3.3485534343923498E-6</v>
      </c>
      <c r="X67" s="24">
        <f t="shared" si="26"/>
        <v>1.64489871552715E-6</v>
      </c>
      <c r="Y67" s="37">
        <v>53.7658150156367</v>
      </c>
      <c r="Z67" s="74">
        <f t="shared" si="11"/>
        <v>8067.518686195876</v>
      </c>
      <c r="AA67" s="22">
        <f t="shared" si="12"/>
        <v>0.0034936527240140235</v>
      </c>
      <c r="AB67" s="22">
        <f t="shared" si="27"/>
        <v>8.734131810035059E-5</v>
      </c>
      <c r="AC67" s="22">
        <f t="shared" si="28"/>
        <v>0.0025471698113207547</v>
      </c>
      <c r="AD67" s="80">
        <f t="shared" si="29"/>
        <v>0.004192282859634085</v>
      </c>
      <c r="AE67" s="72"/>
    </row>
    <row r="68" spans="1:31" s="6" customFormat="1" ht="16.15" customHeight="1">
      <c r="A68" s="18" t="s">
        <v>299</v>
      </c>
      <c r="B68" s="32">
        <v>64</v>
      </c>
      <c r="C68" s="31" t="s">
        <v>299</v>
      </c>
      <c r="D68" s="23">
        <v>1701</v>
      </c>
      <c r="E68" s="30">
        <f t="shared" si="19"/>
        <v>7.32905970016778E-4</v>
      </c>
      <c r="F68" s="30">
        <f t="shared" si="20"/>
        <v>4.690598208107379E-4</v>
      </c>
      <c r="G68" s="27">
        <v>0</v>
      </c>
      <c r="H68" s="27">
        <v>0</v>
      </c>
      <c r="I68" s="26">
        <f t="shared" si="2"/>
        <v>0</v>
      </c>
      <c r="J68" s="29">
        <f t="shared" si="16"/>
        <v>0</v>
      </c>
      <c r="K68" s="29">
        <f t="shared" si="3"/>
        <v>0</v>
      </c>
      <c r="L68" s="27">
        <v>0</v>
      </c>
      <c r="M68" s="27">
        <v>0</v>
      </c>
      <c r="N68" s="26">
        <f t="shared" si="4"/>
        <v>0</v>
      </c>
      <c r="O68" s="21">
        <f t="shared" si="17"/>
        <v>0</v>
      </c>
      <c r="P68" s="28">
        <f t="shared" si="9"/>
        <v>0</v>
      </c>
      <c r="Q68" s="27">
        <v>0</v>
      </c>
      <c r="R68" s="27">
        <v>0</v>
      </c>
      <c r="S68" s="26">
        <f t="shared" si="21"/>
        <v>0</v>
      </c>
      <c r="T68" s="24">
        <f t="shared" si="22"/>
        <v>0</v>
      </c>
      <c r="U68" s="24">
        <f t="shared" si="23"/>
        <v>0</v>
      </c>
      <c r="V68" s="24">
        <f t="shared" si="24"/>
        <v>0</v>
      </c>
      <c r="W68" s="25">
        <f t="shared" si="25"/>
        <v>0</v>
      </c>
      <c r="X68" s="24">
        <f t="shared" si="26"/>
        <v>0</v>
      </c>
      <c r="Y68" s="37">
        <v>53.8418070724091</v>
      </c>
      <c r="Z68" s="74">
        <f t="shared" si="11"/>
        <v>2418.197546327555</v>
      </c>
      <c r="AA68" s="22">
        <f t="shared" si="12"/>
        <v>0.0010472045710147571</v>
      </c>
      <c r="AB68" s="22">
        <f t="shared" si="27"/>
        <v>2.618011427536893E-5</v>
      </c>
      <c r="AC68" s="22">
        <f t="shared" si="28"/>
        <v>0.0025471698113207547</v>
      </c>
      <c r="AD68" s="80">
        <f t="shared" si="29"/>
        <v>0.0030424097464068615</v>
      </c>
      <c r="AE68" s="72"/>
    </row>
    <row r="69" spans="1:31" s="6" customFormat="1" ht="16.15" customHeight="1">
      <c r="A69" s="18" t="s">
        <v>300</v>
      </c>
      <c r="B69" s="32">
        <v>65</v>
      </c>
      <c r="C69" s="31" t="s">
        <v>300</v>
      </c>
      <c r="D69" s="23">
        <v>2118</v>
      </c>
      <c r="E69" s="30">
        <f t="shared" si="30" ref="E69:E100">D69/$D$112</f>
        <v>9.12577803936235E-4</v>
      </c>
      <c r="F69" s="30">
        <f t="shared" si="31" ref="F69:F100">E69*0.64</f>
        <v>5.840497945191905E-4</v>
      </c>
      <c r="G69" s="27">
        <v>29568.15</v>
      </c>
      <c r="H69" s="27">
        <v>23027</v>
      </c>
      <c r="I69" s="26">
        <f t="shared" si="32" ref="I69:I110">G69+H69</f>
        <v>52595.15</v>
      </c>
      <c r="J69" s="29">
        <f t="shared" si="16"/>
        <v>4.201620319913633E-5</v>
      </c>
      <c r="K69" s="29">
        <f t="shared" si="33" ref="K69:K110">J69*0.33</f>
        <v>1.3865347055714989E-5</v>
      </c>
      <c r="L69" s="27">
        <v>66974.50</v>
      </c>
      <c r="M69" s="27">
        <v>48852</v>
      </c>
      <c r="N69" s="26">
        <f t="shared" si="34" ref="N69:N110">L69+M69</f>
        <v>115826.50</v>
      </c>
      <c r="O69" s="21">
        <f t="shared" si="17"/>
        <v>7.114571944224944E-5</v>
      </c>
      <c r="P69" s="28">
        <f t="shared" si="9"/>
        <v>2.3478087415942314E-5</v>
      </c>
      <c r="Q69" s="27">
        <v>106180</v>
      </c>
      <c r="R69" s="27">
        <v>18400</v>
      </c>
      <c r="S69" s="26">
        <f t="shared" si="35" ref="S69:S100">Q69+R69</f>
        <v>124580</v>
      </c>
      <c r="T69" s="24">
        <f t="shared" si="36" ref="T69:T100">S69/$S$112</f>
        <v>6.469984659325577E-5</v>
      </c>
      <c r="U69" s="24">
        <f t="shared" si="37" ref="U69:U100">T69*0.34</f>
        <v>2.1997947841706963E-5</v>
      </c>
      <c r="V69" s="24">
        <f t="shared" si="38" ref="V69:V100">K69+P69+U69</f>
        <v>5.934138231336427E-5</v>
      </c>
      <c r="W69" s="25">
        <f t="shared" si="39" ref="W69:W100">V69*0.045</f>
        <v>2.670362204101392E-6</v>
      </c>
      <c r="X69" s="24">
        <f t="shared" si="40" ref="X69:X100">T69*0.02</f>
        <v>1.2939969318651154E-6</v>
      </c>
      <c r="Y69" s="37">
        <v>55.8982553989578</v>
      </c>
      <c r="Z69" s="74">
        <f t="shared" si="11"/>
        <v>2376.8492814650704</v>
      </c>
      <c r="AA69" s="22">
        <f t="shared" si="12"/>
        <v>0.0010292986344078486</v>
      </c>
      <c r="AB69" s="22">
        <f t="shared" si="41" ref="AB69:AB100">AA69*0.025</f>
        <v>2.5732465860196218E-5</v>
      </c>
      <c r="AC69" s="22">
        <f t="shared" si="42" ref="AC69:AC100">0.27/106</f>
        <v>0.0025471698113207547</v>
      </c>
      <c r="AD69" s="80">
        <f t="shared" si="43" ref="AD69:AD100">F69+W69+X69+AB69+AC69</f>
        <v>0.003160916430836108</v>
      </c>
      <c r="AE69" s="72"/>
    </row>
    <row r="70" spans="1:31" s="6" customFormat="1" ht="16.15" customHeight="1">
      <c r="A70" s="18" t="s">
        <v>301</v>
      </c>
      <c r="B70" s="32">
        <v>66</v>
      </c>
      <c r="C70" s="31" t="s">
        <v>301</v>
      </c>
      <c r="D70" s="23">
        <v>4220</v>
      </c>
      <c r="E70" s="30">
        <f t="shared" si="30"/>
        <v>0.0018182617245566155</v>
      </c>
      <c r="F70" s="30">
        <f t="shared" si="31"/>
        <v>0.001163687503716234</v>
      </c>
      <c r="G70" s="27">
        <v>355436</v>
      </c>
      <c r="H70" s="27">
        <v>10620</v>
      </c>
      <c r="I70" s="26">
        <f t="shared" si="32"/>
        <v>366056</v>
      </c>
      <c r="J70" s="29">
        <f t="shared" si="16"/>
        <v>2.924277861792018E-4</v>
      </c>
      <c r="K70" s="29">
        <f t="shared" si="33"/>
        <v>9.650116943913661E-5</v>
      </c>
      <c r="L70" s="27">
        <v>265389.88</v>
      </c>
      <c r="M70" s="27">
        <v>11310</v>
      </c>
      <c r="N70" s="26">
        <f t="shared" si="34"/>
        <v>276699.88</v>
      </c>
      <c r="O70" s="21">
        <f t="shared" si="44" ref="O70:O110">N70/$N$112</f>
        <v>1.699612095002792E-4</v>
      </c>
      <c r="P70" s="28">
        <f t="shared" si="45" ref="P70:P110">O70*0.33</f>
        <v>5.6087199135092144E-5</v>
      </c>
      <c r="Q70" s="27">
        <v>474458.38</v>
      </c>
      <c r="R70" s="27">
        <v>11260</v>
      </c>
      <c r="S70" s="26">
        <f t="shared" si="35"/>
        <v>485718.38</v>
      </c>
      <c r="T70" s="24">
        <f t="shared" si="36"/>
        <v>2.5225481356176525E-4</v>
      </c>
      <c r="U70" s="24">
        <f t="shared" si="37"/>
        <v>8.57666366110002E-5</v>
      </c>
      <c r="V70" s="24">
        <f t="shared" si="38"/>
        <v>2.3835500518522895E-4</v>
      </c>
      <c r="W70" s="25">
        <f t="shared" si="39"/>
        <v>1.0725975233335302E-5</v>
      </c>
      <c r="X70" s="24">
        <f t="shared" si="40"/>
        <v>5.045096271235305E-6</v>
      </c>
      <c r="Y70" s="37">
        <v>51.8906868964079</v>
      </c>
      <c r="Z70" s="74">
        <f t="shared" si="46" ref="Z70:Z110">D70*(9.261-0.1456*Y70)</f>
        <v>7198.121468866298</v>
      </c>
      <c r="AA70" s="22">
        <f t="shared" si="47" ref="AA70:AA110">Z70/$Z$112</f>
        <v>0.003117158776529171</v>
      </c>
      <c r="AB70" s="22">
        <f t="shared" si="41"/>
        <v>7.792896941322927E-5</v>
      </c>
      <c r="AC70" s="22">
        <f t="shared" si="42"/>
        <v>0.0025471698113207547</v>
      </c>
      <c r="AD70" s="80">
        <f t="shared" si="43"/>
        <v>0.0038045573559547883</v>
      </c>
      <c r="AE70" s="72"/>
    </row>
    <row r="71" spans="1:31" s="6" customFormat="1" ht="16.15" customHeight="1">
      <c r="A71" s="18" t="s">
        <v>369</v>
      </c>
      <c r="B71" s="32">
        <v>67</v>
      </c>
      <c r="C71" s="31" t="s">
        <v>302</v>
      </c>
      <c r="D71" s="23">
        <v>10053</v>
      </c>
      <c r="E71" s="30">
        <f t="shared" si="30"/>
        <v>0.004331513060892809</v>
      </c>
      <c r="F71" s="30">
        <f t="shared" si="31"/>
        <v>0.002772168358971398</v>
      </c>
      <c r="G71" s="27">
        <v>267402</v>
      </c>
      <c r="H71" s="27">
        <v>0</v>
      </c>
      <c r="I71" s="26">
        <f t="shared" si="32"/>
        <v>267402</v>
      </c>
      <c r="J71" s="29">
        <f t="shared" si="48" ref="J71:J110">I71/$I$112</f>
        <v>2.1361697357751526E-4</v>
      </c>
      <c r="K71" s="29">
        <f t="shared" si="33"/>
        <v>7.049360128058004E-5</v>
      </c>
      <c r="L71" s="27">
        <v>9817</v>
      </c>
      <c r="M71" s="27">
        <v>0</v>
      </c>
      <c r="N71" s="26">
        <f t="shared" si="34"/>
        <v>9817</v>
      </c>
      <c r="O71" s="21">
        <f t="shared" si="44"/>
        <v>6.030032227206751E-6</v>
      </c>
      <c r="P71" s="28">
        <f t="shared" si="45"/>
        <v>1.9899106349782282E-6</v>
      </c>
      <c r="Q71" s="27">
        <v>30349</v>
      </c>
      <c r="R71" s="27">
        <v>0</v>
      </c>
      <c r="S71" s="26">
        <f t="shared" si="35"/>
        <v>30349</v>
      </c>
      <c r="T71" s="24">
        <f t="shared" si="36"/>
        <v>1.5761564009140468E-5</v>
      </c>
      <c r="U71" s="24">
        <f t="shared" si="37"/>
        <v>5.358931763107759E-6</v>
      </c>
      <c r="V71" s="24">
        <f t="shared" si="38"/>
        <v>7.784244367866604E-5</v>
      </c>
      <c r="W71" s="25">
        <f t="shared" si="39"/>
        <v>3.5029099655399716E-6</v>
      </c>
      <c r="X71" s="24">
        <f t="shared" si="40"/>
        <v>3.152312801828094E-7</v>
      </c>
      <c r="Y71" s="37">
        <v>55.445318645897</v>
      </c>
      <c r="Z71" s="74">
        <f t="shared" si="46"/>
        <v>11944.588616647296</v>
      </c>
      <c r="AA71" s="22">
        <f t="shared" si="47"/>
        <v>0.005172624468683322</v>
      </c>
      <c r="AB71" s="22">
        <f t="shared" si="41"/>
        <v>1.2931561171708307E-4</v>
      </c>
      <c r="AC71" s="22">
        <f t="shared" si="42"/>
        <v>0.0025471698113207547</v>
      </c>
      <c r="AD71" s="80">
        <f t="shared" si="43"/>
        <v>0.005452471923254958</v>
      </c>
      <c r="AE71" s="72"/>
    </row>
    <row r="72" spans="1:31" s="6" customFormat="1" ht="16.15" customHeight="1">
      <c r="A72" s="18" t="s">
        <v>370</v>
      </c>
      <c r="B72" s="32">
        <v>68</v>
      </c>
      <c r="C72" s="31" t="s">
        <v>303</v>
      </c>
      <c r="D72" s="23">
        <v>3206</v>
      </c>
      <c r="E72" s="30">
        <f t="shared" si="30"/>
        <v>0.0013813618694143387</v>
      </c>
      <c r="F72" s="30">
        <f t="shared" si="31"/>
        <v>8.840715964251768E-4</v>
      </c>
      <c r="G72" s="27">
        <v>3004816.40</v>
      </c>
      <c r="H72" s="27">
        <v>60326</v>
      </c>
      <c r="I72" s="26">
        <f t="shared" si="32"/>
        <v>3065142.40</v>
      </c>
      <c r="J72" s="29">
        <f t="shared" si="48"/>
        <v>0.002448622086117986</v>
      </c>
      <c r="K72" s="29">
        <f t="shared" si="33"/>
        <v>8.080452884189355E-4</v>
      </c>
      <c r="L72" s="27">
        <v>4297851.41</v>
      </c>
      <c r="M72" s="27">
        <v>60560</v>
      </c>
      <c r="N72" s="26">
        <f t="shared" si="34"/>
        <v>4358411.41</v>
      </c>
      <c r="O72" s="21">
        <f t="shared" si="44"/>
        <v>0.002677127560530266</v>
      </c>
      <c r="P72" s="28">
        <f t="shared" si="45"/>
        <v>8.834520949749878E-4</v>
      </c>
      <c r="Q72" s="27">
        <v>1870127.50</v>
      </c>
      <c r="R72" s="27">
        <v>140985</v>
      </c>
      <c r="S72" s="26">
        <f t="shared" si="35"/>
        <v>2011112.50</v>
      </c>
      <c r="T72" s="24">
        <f t="shared" si="36"/>
        <v>0.0010444587432314905</v>
      </c>
      <c r="U72" s="24">
        <f t="shared" si="37"/>
        <v>3.551159726987068E-4</v>
      </c>
      <c r="V72" s="24">
        <f t="shared" si="38"/>
        <v>0.0020466133560926303</v>
      </c>
      <c r="W72" s="25">
        <f t="shared" si="39"/>
        <v>9.209760102416836E-5</v>
      </c>
      <c r="X72" s="24">
        <f t="shared" si="40"/>
        <v>2.088917486462981E-5</v>
      </c>
      <c r="Y72" s="37">
        <v>54.3185875212958</v>
      </c>
      <c r="Z72" s="74">
        <f t="shared" si="46"/>
        <v>4335.196984019256</v>
      </c>
      <c r="AA72" s="22">
        <f t="shared" si="47"/>
        <v>0.0018773644464278245</v>
      </c>
      <c r="AB72" s="22">
        <f t="shared" si="41"/>
        <v>4.693411116069561E-5</v>
      </c>
      <c r="AC72" s="22">
        <f t="shared" si="42"/>
        <v>0.0025471698113207547</v>
      </c>
      <c r="AD72" s="80">
        <f t="shared" si="43"/>
        <v>0.0035911622947954252</v>
      </c>
      <c r="AE72" s="72"/>
    </row>
    <row r="73" spans="1:31" s="6" customFormat="1" ht="16.15" customHeight="1">
      <c r="A73" s="18" t="s">
        <v>304</v>
      </c>
      <c r="B73" s="32">
        <v>69</v>
      </c>
      <c r="C73" s="31" t="s">
        <v>304</v>
      </c>
      <c r="D73" s="23">
        <v>8967</v>
      </c>
      <c r="E73" s="30">
        <f t="shared" si="30"/>
        <v>0.0038635907308291876</v>
      </c>
      <c r="F73" s="30">
        <f t="shared" si="31"/>
        <v>0.00247269806773068</v>
      </c>
      <c r="G73" s="27">
        <v>22345</v>
      </c>
      <c r="H73" s="27">
        <v>12380</v>
      </c>
      <c r="I73" s="26">
        <f t="shared" si="32"/>
        <v>34725</v>
      </c>
      <c r="J73" s="29">
        <f t="shared" si="48"/>
        <v>2.7740441011956597E-5</v>
      </c>
      <c r="K73" s="29">
        <f t="shared" si="33"/>
        <v>9.154345533945678E-6</v>
      </c>
      <c r="L73" s="27">
        <v>68920</v>
      </c>
      <c r="M73" s="27">
        <v>18865</v>
      </c>
      <c r="N73" s="26">
        <f t="shared" si="34"/>
        <v>87785</v>
      </c>
      <c r="O73" s="21">
        <f t="shared" si="44"/>
        <v>5.3921399517708535E-5</v>
      </c>
      <c r="P73" s="28">
        <f t="shared" si="45"/>
        <v>1.7794061840843816E-5</v>
      </c>
      <c r="Q73" s="27">
        <v>62903</v>
      </c>
      <c r="R73" s="27">
        <v>5820</v>
      </c>
      <c r="S73" s="26">
        <f t="shared" si="35"/>
        <v>68723</v>
      </c>
      <c r="T73" s="24">
        <f t="shared" si="36"/>
        <v>3.5690861754923075E-5</v>
      </c>
      <c r="U73" s="24">
        <f t="shared" si="37"/>
        <v>1.2134892996673846E-5</v>
      </c>
      <c r="V73" s="24">
        <f t="shared" si="38"/>
        <v>3.9083300371463344E-5</v>
      </c>
      <c r="W73" s="25">
        <f t="shared" si="39"/>
        <v>1.7587485167158504E-6</v>
      </c>
      <c r="X73" s="24">
        <f t="shared" si="40"/>
        <v>7.138172350984615E-7</v>
      </c>
      <c r="Y73" s="37">
        <v>52.1657962742296</v>
      </c>
      <c r="Z73" s="74">
        <f t="shared" si="46"/>
        <v>14935.973780187944</v>
      </c>
      <c r="AA73" s="22">
        <f t="shared" si="47"/>
        <v>0.0064680489147476514</v>
      </c>
      <c r="AB73" s="22">
        <f t="shared" si="41"/>
        <v>1.617012228686913E-4</v>
      </c>
      <c r="AC73" s="22">
        <f t="shared" si="42"/>
        <v>0.0025471698113207547</v>
      </c>
      <c r="AD73" s="80">
        <f t="shared" si="43"/>
        <v>0.005184041667671941</v>
      </c>
      <c r="AE73" s="72"/>
    </row>
    <row r="74" spans="1:31" s="6" customFormat="1" ht="16.15" customHeight="1">
      <c r="A74" s="18" t="s">
        <v>371</v>
      </c>
      <c r="B74" s="32">
        <v>70</v>
      </c>
      <c r="C74" s="31" t="s">
        <v>305</v>
      </c>
      <c r="D74" s="23">
        <v>3971</v>
      </c>
      <c r="E74" s="30">
        <f t="shared" si="30"/>
        <v>0.0017109756654536303</v>
      </c>
      <c r="F74" s="30">
        <f t="shared" si="31"/>
        <v>0.0010950244258903234</v>
      </c>
      <c r="G74" s="27">
        <v>76656.70</v>
      </c>
      <c r="H74" s="27">
        <v>390060</v>
      </c>
      <c r="I74" s="26">
        <f t="shared" si="32"/>
        <v>466716.70</v>
      </c>
      <c r="J74" s="29">
        <f t="shared" si="48"/>
        <v>3.728416727327586E-4</v>
      </c>
      <c r="K74" s="29">
        <f t="shared" si="33"/>
        <v>1.2303775200181034E-4</v>
      </c>
      <c r="L74" s="27">
        <v>82708.50</v>
      </c>
      <c r="M74" s="27">
        <v>149200</v>
      </c>
      <c r="N74" s="26">
        <f t="shared" si="34"/>
        <v>231908.50</v>
      </c>
      <c r="O74" s="21">
        <f t="shared" si="44"/>
        <v>1.424483781973288E-4</v>
      </c>
      <c r="P74" s="28">
        <f t="shared" si="45"/>
        <v>4.700796480511851E-5</v>
      </c>
      <c r="Q74" s="27">
        <v>140116.34</v>
      </c>
      <c r="R74" s="27">
        <v>154790</v>
      </c>
      <c r="S74" s="26">
        <f t="shared" si="35"/>
        <v>294906.33999999997</v>
      </c>
      <c r="T74" s="24">
        <f t="shared" si="36"/>
        <v>1.531577697654401E-4</v>
      </c>
      <c r="U74" s="24">
        <f t="shared" si="37"/>
        <v>5.207364172024963E-5</v>
      </c>
      <c r="V74" s="24">
        <f t="shared" si="38"/>
        <v>2.221193585271785E-4</v>
      </c>
      <c r="W74" s="25">
        <f t="shared" si="39"/>
        <v>9.995371133723031E-6</v>
      </c>
      <c r="X74" s="24">
        <f t="shared" si="40"/>
        <v>3.0631553953088018E-6</v>
      </c>
      <c r="Y74" s="37">
        <v>54.5580867667941</v>
      </c>
      <c r="Z74" s="74">
        <f t="shared" si="46"/>
        <v>5231.167332583224</v>
      </c>
      <c r="AA74" s="22">
        <f t="shared" si="47"/>
        <v>0.0022653659337069708</v>
      </c>
      <c r="AB74" s="22">
        <f t="shared" si="41"/>
        <v>5.663414834267427E-5</v>
      </c>
      <c r="AC74" s="22">
        <f t="shared" si="42"/>
        <v>0.0025471698113207547</v>
      </c>
      <c r="AD74" s="80">
        <f t="shared" si="43"/>
        <v>0.0037118869120827845</v>
      </c>
      <c r="AE74" s="72"/>
    </row>
    <row r="75" spans="1:31" s="6" customFormat="1" ht="16.15" customHeight="1">
      <c r="A75" s="18" t="s">
        <v>306</v>
      </c>
      <c r="B75" s="32">
        <v>71</v>
      </c>
      <c r="C75" s="31" t="s">
        <v>306</v>
      </c>
      <c r="D75" s="23">
        <v>1949</v>
      </c>
      <c r="E75" s="30">
        <f t="shared" si="30"/>
        <v>8.397611614125222E-4</v>
      </c>
      <c r="F75" s="30">
        <f t="shared" si="31"/>
        <v>5.374471433040142E-4</v>
      </c>
      <c r="G75" s="27">
        <v>8835.50</v>
      </c>
      <c r="H75" s="27">
        <v>0</v>
      </c>
      <c r="I75" s="26">
        <f t="shared" si="32"/>
        <v>8835.50</v>
      </c>
      <c r="J75" s="29">
        <f t="shared" si="48"/>
        <v>7.058334530198488E-6</v>
      </c>
      <c r="K75" s="29">
        <f t="shared" si="33"/>
        <v>2.3292503949655012E-6</v>
      </c>
      <c r="L75" s="27">
        <v>18991.50</v>
      </c>
      <c r="M75" s="27">
        <v>0</v>
      </c>
      <c r="N75" s="26">
        <f t="shared" si="34"/>
        <v>18991.50</v>
      </c>
      <c r="O75" s="21">
        <f t="shared" si="44"/>
        <v>1.1665412757766835E-5</v>
      </c>
      <c r="P75" s="28">
        <f t="shared" si="45"/>
        <v>3.849586210063056E-6</v>
      </c>
      <c r="Q75" s="27">
        <v>18710</v>
      </c>
      <c r="R75" s="27">
        <v>0</v>
      </c>
      <c r="S75" s="26">
        <f t="shared" si="35"/>
        <v>18710</v>
      </c>
      <c r="T75" s="24">
        <f t="shared" si="36"/>
        <v>9.716921895647901E-6</v>
      </c>
      <c r="U75" s="24">
        <f t="shared" si="37"/>
        <v>3.3037534445202867E-6</v>
      </c>
      <c r="V75" s="24">
        <f t="shared" si="38"/>
        <v>9.482590049548845E-6</v>
      </c>
      <c r="W75" s="25">
        <f t="shared" si="39"/>
        <v>4.26716552229698E-7</v>
      </c>
      <c r="X75" s="24">
        <f t="shared" si="40"/>
        <v>1.9433843791295802E-7</v>
      </c>
      <c r="Y75" s="37">
        <v>52.1308633542215</v>
      </c>
      <c r="Z75" s="74">
        <f t="shared" si="46"/>
        <v>3256.2845301738025</v>
      </c>
      <c r="AA75" s="22">
        <f t="shared" si="47"/>
        <v>0.0014101395684985732</v>
      </c>
      <c r="AB75" s="22">
        <f t="shared" si="41"/>
        <v>3.525348921246433E-5</v>
      </c>
      <c r="AC75" s="22">
        <f t="shared" si="42"/>
        <v>0.0025471698113207547</v>
      </c>
      <c r="AD75" s="80">
        <f t="shared" si="43"/>
        <v>0.0031204914988273756</v>
      </c>
      <c r="AE75" s="72"/>
    </row>
    <row r="76" spans="1:31" s="6" customFormat="1" ht="16.15" customHeight="1">
      <c r="A76" s="18" t="s">
        <v>307</v>
      </c>
      <c r="B76" s="32">
        <v>72</v>
      </c>
      <c r="C76" s="33" t="s">
        <v>307</v>
      </c>
      <c r="D76" s="23">
        <v>1857</v>
      </c>
      <c r="E76" s="30">
        <f t="shared" si="30"/>
        <v>8.001213323463591E-4</v>
      </c>
      <c r="F76" s="30">
        <f t="shared" si="31"/>
        <v>5.120776527016698E-4</v>
      </c>
      <c r="G76" s="27">
        <v>21000</v>
      </c>
      <c r="H76" s="27">
        <v>25815</v>
      </c>
      <c r="I76" s="26">
        <f t="shared" si="32"/>
        <v>46815</v>
      </c>
      <c r="J76" s="29">
        <f t="shared" si="48"/>
        <v>3.7398667990633493E-5</v>
      </c>
      <c r="K76" s="29">
        <f t="shared" si="33"/>
        <v>1.2341560436909053E-5</v>
      </c>
      <c r="L76" s="27">
        <v>24780</v>
      </c>
      <c r="M76" s="27">
        <v>18315</v>
      </c>
      <c r="N76" s="26">
        <f t="shared" si="34"/>
        <v>43095</v>
      </c>
      <c r="O76" s="21">
        <f t="shared" si="44"/>
        <v>2.6470840259903732E-5</v>
      </c>
      <c r="P76" s="28">
        <f t="shared" si="45"/>
        <v>8.735377285768232E-6</v>
      </c>
      <c r="Q76" s="27">
        <v>30600</v>
      </c>
      <c r="R76" s="27">
        <v>0</v>
      </c>
      <c r="S76" s="26">
        <f t="shared" si="35"/>
        <v>30600</v>
      </c>
      <c r="T76" s="24">
        <f t="shared" si="36"/>
        <v>1.5891919294859743E-5</v>
      </c>
      <c r="U76" s="24">
        <f t="shared" si="37"/>
        <v>5.403252560252313E-6</v>
      </c>
      <c r="V76" s="24">
        <f t="shared" si="38"/>
        <v>2.6480190282929598E-5</v>
      </c>
      <c r="W76" s="25">
        <f t="shared" si="39"/>
        <v>1.191608562731832E-6</v>
      </c>
      <c r="X76" s="24">
        <f t="shared" si="40"/>
        <v>3.178383858971949E-7</v>
      </c>
      <c r="Y76" s="37">
        <v>55.3705088828567</v>
      </c>
      <c r="Z76" s="74">
        <f t="shared" si="46"/>
        <v>2226.6431046603093</v>
      </c>
      <c r="AA76" s="22">
        <f t="shared" si="47"/>
        <v>9.642515934068029E-4</v>
      </c>
      <c r="AB76" s="22">
        <f t="shared" si="41"/>
        <v>2.4106289835170074E-5</v>
      </c>
      <c r="AC76" s="22">
        <f t="shared" si="42"/>
        <v>0.0025471698113207547</v>
      </c>
      <c r="AD76" s="80">
        <f t="shared" si="43"/>
        <v>0.0030848632008062234</v>
      </c>
      <c r="AE76" s="72"/>
    </row>
    <row r="77" spans="1:31" s="6" customFormat="1" ht="16.15" customHeight="1">
      <c r="A77" s="18" t="s">
        <v>372</v>
      </c>
      <c r="B77" s="32">
        <v>73</v>
      </c>
      <c r="C77" s="31" t="s">
        <v>308</v>
      </c>
      <c r="D77" s="23">
        <v>5854</v>
      </c>
      <c r="E77" s="30">
        <f t="shared" si="30"/>
        <v>0.002522299558188253</v>
      </c>
      <c r="F77" s="30">
        <f t="shared" si="31"/>
        <v>0.0016142717172404819</v>
      </c>
      <c r="G77" s="27">
        <v>0</v>
      </c>
      <c r="H77" s="27">
        <v>0</v>
      </c>
      <c r="I77" s="26">
        <f t="shared" si="32"/>
        <v>0</v>
      </c>
      <c r="J77" s="29">
        <f t="shared" si="48"/>
        <v>0</v>
      </c>
      <c r="K77" s="29">
        <f t="shared" si="33"/>
        <v>0</v>
      </c>
      <c r="L77" s="27">
        <v>0</v>
      </c>
      <c r="M77" s="27">
        <v>0</v>
      </c>
      <c r="N77" s="26">
        <f t="shared" si="34"/>
        <v>0</v>
      </c>
      <c r="O77" s="21">
        <f t="shared" si="44"/>
        <v>0</v>
      </c>
      <c r="P77" s="28">
        <f t="shared" si="45"/>
        <v>0</v>
      </c>
      <c r="Q77" s="27">
        <v>0</v>
      </c>
      <c r="R77" s="27">
        <v>0</v>
      </c>
      <c r="S77" s="26">
        <f t="shared" si="35"/>
        <v>0</v>
      </c>
      <c r="T77" s="24">
        <f t="shared" si="36"/>
        <v>0</v>
      </c>
      <c r="U77" s="24">
        <f t="shared" si="37"/>
        <v>0</v>
      </c>
      <c r="V77" s="24">
        <f t="shared" si="38"/>
        <v>0</v>
      </c>
      <c r="W77" s="25">
        <f t="shared" si="39"/>
        <v>0</v>
      </c>
      <c r="X77" s="24">
        <f t="shared" si="40"/>
        <v>0</v>
      </c>
      <c r="Y77" s="37">
        <v>49.4453324912743</v>
      </c>
      <c r="Z77" s="74">
        <f t="shared" si="46"/>
        <v>12069.54063558928</v>
      </c>
      <c r="AA77" s="22">
        <f t="shared" si="47"/>
        <v>0.005226735153557801</v>
      </c>
      <c r="AB77" s="22">
        <f t="shared" si="41"/>
        <v>1.30668378838945E-4</v>
      </c>
      <c r="AC77" s="22">
        <f t="shared" si="42"/>
        <v>0.0025471698113207547</v>
      </c>
      <c r="AD77" s="80">
        <f t="shared" si="43"/>
        <v>0.004292109907400182</v>
      </c>
      <c r="AE77" s="72"/>
    </row>
    <row r="78" spans="1:31" s="6" customFormat="1" ht="16.15" customHeight="1">
      <c r="A78" s="18" t="s">
        <v>309</v>
      </c>
      <c r="B78" s="32">
        <v>74</v>
      </c>
      <c r="C78" s="31" t="s">
        <v>309</v>
      </c>
      <c r="D78" s="23">
        <v>3774</v>
      </c>
      <c r="E78" s="30">
        <f t="shared" si="30"/>
        <v>0.0016260947271271723</v>
      </c>
      <c r="F78" s="30">
        <f t="shared" si="31"/>
        <v>0.0010407006253613904</v>
      </c>
      <c r="G78" s="27">
        <v>44539.73</v>
      </c>
      <c r="H78" s="27">
        <v>12275</v>
      </c>
      <c r="I78" s="26">
        <f t="shared" si="32"/>
        <v>56814.73</v>
      </c>
      <c r="J78" s="29">
        <f t="shared" si="48"/>
        <v>4.538706022102926E-5</v>
      </c>
      <c r="K78" s="29">
        <f t="shared" si="33"/>
        <v>1.4977729872939657E-5</v>
      </c>
      <c r="L78" s="27">
        <v>40511.50</v>
      </c>
      <c r="M78" s="27">
        <v>13280</v>
      </c>
      <c r="N78" s="26">
        <f t="shared" si="34"/>
        <v>53791.50</v>
      </c>
      <c r="O78" s="21">
        <f t="shared" si="44"/>
        <v>3.3041099984699195E-5</v>
      </c>
      <c r="P78" s="28">
        <f t="shared" si="45"/>
        <v>1.0903562994950736E-5</v>
      </c>
      <c r="Q78" s="27">
        <v>40190</v>
      </c>
      <c r="R78" s="27">
        <v>27330</v>
      </c>
      <c r="S78" s="26">
        <f t="shared" si="35"/>
        <v>67520</v>
      </c>
      <c r="T78" s="24">
        <f t="shared" si="36"/>
        <v>3.5066091202252604E-5</v>
      </c>
      <c r="U78" s="24">
        <f t="shared" si="37"/>
        <v>1.1922471008765887E-5</v>
      </c>
      <c r="V78" s="24">
        <f t="shared" si="38"/>
        <v>3.780376387665628E-5</v>
      </c>
      <c r="W78" s="25">
        <f t="shared" si="39"/>
        <v>1.7011693744495327E-6</v>
      </c>
      <c r="X78" s="24">
        <f t="shared" si="40"/>
        <v>7.013218240450521E-7</v>
      </c>
      <c r="Y78" s="37">
        <v>53.4107347662162</v>
      </c>
      <c r="Z78" s="74">
        <f t="shared" si="46"/>
        <v>5602.114346078884</v>
      </c>
      <c r="AA78" s="22">
        <f t="shared" si="47"/>
        <v>0.002426005170450415</v>
      </c>
      <c r="AB78" s="22">
        <f t="shared" si="41"/>
        <v>6.065012926126037E-5</v>
      </c>
      <c r="AC78" s="22">
        <f t="shared" si="42"/>
        <v>0.0025471698113207547</v>
      </c>
      <c r="AD78" s="80">
        <f t="shared" si="43"/>
        <v>0.0036509230571419</v>
      </c>
      <c r="AE78" s="72"/>
    </row>
    <row r="79" spans="1:31" s="6" customFormat="1" ht="16.15" customHeight="1">
      <c r="A79" s="18" t="s">
        <v>310</v>
      </c>
      <c r="B79" s="32">
        <v>75</v>
      </c>
      <c r="C79" s="31" t="s">
        <v>310</v>
      </c>
      <c r="D79" s="23">
        <v>6921</v>
      </c>
      <c r="E79" s="30">
        <f t="shared" si="30"/>
        <v>0.0029820354018142976</v>
      </c>
      <c r="F79" s="30">
        <f t="shared" si="31"/>
        <v>0.0019085026571611504</v>
      </c>
      <c r="G79" s="27">
        <v>10040</v>
      </c>
      <c r="H79" s="27">
        <v>4800</v>
      </c>
      <c r="I79" s="26">
        <f t="shared" si="32"/>
        <v>14840</v>
      </c>
      <c r="J79" s="29">
        <f t="shared" si="48"/>
        <v>1.1855094157449557E-5</v>
      </c>
      <c r="K79" s="29">
        <f t="shared" si="33"/>
        <v>3.912181071958354E-6</v>
      </c>
      <c r="L79" s="27">
        <v>7797</v>
      </c>
      <c r="M79" s="27">
        <v>0</v>
      </c>
      <c r="N79" s="26">
        <f t="shared" si="34"/>
        <v>7797</v>
      </c>
      <c r="O79" s="21">
        <f t="shared" si="44"/>
        <v>4.789259577827345E-6</v>
      </c>
      <c r="P79" s="28">
        <f t="shared" si="45"/>
        <v>1.580455660683024E-6</v>
      </c>
      <c r="Q79" s="27">
        <v>3345</v>
      </c>
      <c r="R79" s="27">
        <v>1500</v>
      </c>
      <c r="S79" s="26">
        <f t="shared" si="35"/>
        <v>4845</v>
      </c>
      <c r="T79" s="24">
        <f t="shared" si="36"/>
        <v>2.516220555019459E-6</v>
      </c>
      <c r="U79" s="24">
        <f t="shared" si="37"/>
        <v>8.555149887066162E-7</v>
      </c>
      <c r="V79" s="24">
        <f t="shared" si="38"/>
        <v>6.348151721347994E-6</v>
      </c>
      <c r="W79" s="25">
        <f t="shared" si="39"/>
        <v>2.8566682746065974E-7</v>
      </c>
      <c r="X79" s="24">
        <f t="shared" si="40"/>
        <v>5.0324411100389183E-8</v>
      </c>
      <c r="Y79" s="37">
        <v>50.657433654324</v>
      </c>
      <c r="Z79" s="74">
        <f t="shared" si="46"/>
        <v>13048.006684378468</v>
      </c>
      <c r="AA79" s="22">
        <f t="shared" si="47"/>
        <v>0.005650461544493437</v>
      </c>
      <c r="AB79" s="22">
        <f t="shared" si="41"/>
        <v>1.4126153861233594E-4</v>
      </c>
      <c r="AC79" s="22">
        <f t="shared" si="42"/>
        <v>0.0025471698113207547</v>
      </c>
      <c r="AD79" s="80">
        <f t="shared" si="43"/>
        <v>0.004597269998332802</v>
      </c>
      <c r="AE79" s="72"/>
    </row>
    <row r="80" spans="1:31" s="6" customFormat="1" ht="16.15" customHeight="1">
      <c r="A80" s="18" t="s">
        <v>311</v>
      </c>
      <c r="B80" s="32">
        <v>76</v>
      </c>
      <c r="C80" s="33" t="s">
        <v>311</v>
      </c>
      <c r="D80" s="23">
        <v>17939</v>
      </c>
      <c r="E80" s="30">
        <f t="shared" si="30"/>
        <v>0.00772933580019458</v>
      </c>
      <c r="F80" s="30">
        <f t="shared" si="31"/>
        <v>0.004946774912124531</v>
      </c>
      <c r="G80" s="27">
        <v>42219.50</v>
      </c>
      <c r="H80" s="27">
        <v>123084</v>
      </c>
      <c r="I80" s="26">
        <f t="shared" si="32"/>
        <v>165303.50</v>
      </c>
      <c r="J80" s="29">
        <f t="shared" si="48"/>
        <v>1.3205448497681692E-4</v>
      </c>
      <c r="K80" s="29">
        <f t="shared" si="33"/>
        <v>4.357798004234959E-5</v>
      </c>
      <c r="L80" s="27">
        <v>58826.05</v>
      </c>
      <c r="M80" s="27">
        <v>149193.50</v>
      </c>
      <c r="N80" s="26">
        <f t="shared" si="34"/>
        <v>208019.55</v>
      </c>
      <c r="O80" s="21">
        <f t="shared" si="44"/>
        <v>1.2777473672089703E-4</v>
      </c>
      <c r="P80" s="28">
        <f t="shared" si="45"/>
        <v>4.216566311789602E-5</v>
      </c>
      <c r="Q80" s="27">
        <v>142216</v>
      </c>
      <c r="R80" s="27">
        <v>61298</v>
      </c>
      <c r="S80" s="26">
        <f t="shared" si="35"/>
        <v>203514</v>
      </c>
      <c r="T80" s="24">
        <f t="shared" si="36"/>
        <v>1.0569372756124463E-4</v>
      </c>
      <c r="U80" s="24">
        <f t="shared" si="37"/>
        <v>3.5935867370823176E-5</v>
      </c>
      <c r="V80" s="24">
        <f t="shared" si="38"/>
        <v>1.2167951053106878E-4</v>
      </c>
      <c r="W80" s="25">
        <f t="shared" si="39"/>
        <v>5.475577973898095E-6</v>
      </c>
      <c r="X80" s="24">
        <f t="shared" si="40"/>
        <v>2.1138745512248927E-6</v>
      </c>
      <c r="Y80" s="37">
        <v>52.9894936634856</v>
      </c>
      <c r="Z80" s="74">
        <f t="shared" si="46"/>
        <v>27728.845493658544</v>
      </c>
      <c r="AA80" s="22">
        <f t="shared" si="47"/>
        <v>0.0120080238250262</v>
      </c>
      <c r="AB80" s="22">
        <f t="shared" si="41"/>
        <v>3.00200595625655E-4</v>
      </c>
      <c r="AC80" s="22">
        <f t="shared" si="42"/>
        <v>0.0025471698113207547</v>
      </c>
      <c r="AD80" s="80">
        <f t="shared" si="43"/>
        <v>0.007801734771596064</v>
      </c>
      <c r="AE80" s="72"/>
    </row>
    <row r="81" spans="1:31" s="6" customFormat="1" ht="16.15" customHeight="1">
      <c r="A81" s="18" t="s">
        <v>312</v>
      </c>
      <c r="B81" s="32">
        <v>77</v>
      </c>
      <c r="C81" s="33" t="s">
        <v>312</v>
      </c>
      <c r="D81" s="23">
        <v>2683</v>
      </c>
      <c r="E81" s="30">
        <f t="shared" si="30"/>
        <v>0.001156018058527346</v>
      </c>
      <c r="F81" s="30">
        <f t="shared" si="31"/>
        <v>7.398515574575014E-4</v>
      </c>
      <c r="G81" s="27">
        <v>19112.50</v>
      </c>
      <c r="H81" s="27">
        <v>0</v>
      </c>
      <c r="I81" s="26">
        <f t="shared" si="32"/>
        <v>19112.50</v>
      </c>
      <c r="J81" s="29">
        <f t="shared" si="48"/>
        <v>1.5268226892469992E-5</v>
      </c>
      <c r="K81" s="29">
        <f t="shared" si="33"/>
        <v>5.038514874515097E-6</v>
      </c>
      <c r="L81" s="27">
        <v>13392.50</v>
      </c>
      <c r="M81" s="27">
        <v>0</v>
      </c>
      <c r="N81" s="26">
        <f t="shared" si="34"/>
        <v>13392.50</v>
      </c>
      <c r="O81" s="21">
        <f t="shared" si="44"/>
        <v>8.226261240996885E-6</v>
      </c>
      <c r="P81" s="28">
        <f t="shared" si="45"/>
        <v>2.7146662095289722E-6</v>
      </c>
      <c r="Q81" s="27">
        <v>24383</v>
      </c>
      <c r="R81" s="27">
        <v>0</v>
      </c>
      <c r="S81" s="26">
        <f t="shared" si="35"/>
        <v>24383</v>
      </c>
      <c r="T81" s="24">
        <f t="shared" si="36"/>
        <v>1.2663159090410624E-5</v>
      </c>
      <c r="U81" s="24">
        <f t="shared" si="37"/>
        <v>4.305474090739613E-6</v>
      </c>
      <c r="V81" s="24">
        <f t="shared" si="38"/>
        <v>1.2058655174783682E-5</v>
      </c>
      <c r="W81" s="25">
        <f t="shared" si="39"/>
        <v>5.426394828652657E-7</v>
      </c>
      <c r="X81" s="24">
        <f t="shared" si="40"/>
        <v>2.5326318180821245E-7</v>
      </c>
      <c r="Y81" s="37">
        <v>50.6677580363417</v>
      </c>
      <c r="Z81" s="74">
        <f t="shared" si="46"/>
        <v>5054.1667954449</v>
      </c>
      <c r="AA81" s="22">
        <f t="shared" si="47"/>
        <v>0.002188715549272988</v>
      </c>
      <c r="AB81" s="22">
        <f t="shared" si="41"/>
        <v>5.47178887318247E-5</v>
      </c>
      <c r="AC81" s="22">
        <f t="shared" si="42"/>
        <v>0.0025471698113207547</v>
      </c>
      <c r="AD81" s="80">
        <f t="shared" si="43"/>
        <v>0.0033425351601747543</v>
      </c>
      <c r="AE81" s="72"/>
    </row>
    <row r="82" spans="1:31" s="6" customFormat="1" ht="16.15" customHeight="1">
      <c r="A82" s="18" t="s">
        <v>373</v>
      </c>
      <c r="B82" s="32">
        <v>78</v>
      </c>
      <c r="C82" s="31" t="s">
        <v>313</v>
      </c>
      <c r="D82" s="23">
        <v>3747</v>
      </c>
      <c r="E82" s="30">
        <f t="shared" si="30"/>
        <v>0.001614461299031668</v>
      </c>
      <c r="F82" s="30">
        <f t="shared" si="31"/>
        <v>0.0010332552313802674</v>
      </c>
      <c r="G82" s="27">
        <v>84483.68</v>
      </c>
      <c r="H82" s="27">
        <v>8740</v>
      </c>
      <c r="I82" s="26">
        <f t="shared" si="32"/>
        <v>93223.68</v>
      </c>
      <c r="J82" s="29">
        <f t="shared" si="48"/>
        <v>7.447274286414738E-5</v>
      </c>
      <c r="K82" s="29">
        <f t="shared" si="33"/>
        <v>2.4576005145168637E-5</v>
      </c>
      <c r="L82" s="27">
        <v>57668.08</v>
      </c>
      <c r="M82" s="27">
        <v>6260</v>
      </c>
      <c r="N82" s="26">
        <f t="shared" si="34"/>
        <v>63928.08</v>
      </c>
      <c r="O82" s="21">
        <f t="shared" si="44"/>
        <v>3.926743227293994E-5</v>
      </c>
      <c r="P82" s="28">
        <f t="shared" si="45"/>
        <v>1.295825265007018E-5</v>
      </c>
      <c r="Q82" s="27">
        <v>75371.4</v>
      </c>
      <c r="R82" s="27">
        <v>6060</v>
      </c>
      <c r="S82" s="26">
        <f t="shared" si="35"/>
        <v>81431.4</v>
      </c>
      <c r="T82" s="24">
        <f t="shared" si="36"/>
        <v>4.229089009370724E-5</v>
      </c>
      <c r="U82" s="24">
        <f t="shared" si="37"/>
        <v>1.4378902631860462E-5</v>
      </c>
      <c r="V82" s="24">
        <f t="shared" si="38"/>
        <v>5.191316042709928E-5</v>
      </c>
      <c r="W82" s="25">
        <f t="shared" si="39"/>
        <v>2.3360922192194677E-6</v>
      </c>
      <c r="X82" s="24">
        <f t="shared" si="40"/>
        <v>8.458178018741448E-7</v>
      </c>
      <c r="Y82" s="37">
        <v>52.699620408264</v>
      </c>
      <c r="Z82" s="74">
        <f t="shared" si="46"/>
        <v>5949.993451282179</v>
      </c>
      <c r="AA82" s="22">
        <f t="shared" si="47"/>
        <v>0.0025766548101718123</v>
      </c>
      <c r="AB82" s="22">
        <f t="shared" si="41"/>
        <v>6.441637025429531E-5</v>
      </c>
      <c r="AC82" s="22">
        <f t="shared" si="42"/>
        <v>0.0025471698113207547</v>
      </c>
      <c r="AD82" s="80">
        <f t="shared" si="43"/>
        <v>0.003648023322976411</v>
      </c>
      <c r="AE82" s="72"/>
    </row>
    <row r="83" spans="1:31" s="6" customFormat="1" ht="16.15" customHeight="1">
      <c r="A83" s="18" t="s">
        <v>314</v>
      </c>
      <c r="B83" s="32">
        <v>79</v>
      </c>
      <c r="C83" s="31" t="s">
        <v>314</v>
      </c>
      <c r="D83" s="23">
        <v>45062</v>
      </c>
      <c r="E83" s="30">
        <f t="shared" si="30"/>
        <v>0.019415760623689625</v>
      </c>
      <c r="F83" s="30">
        <f t="shared" si="31"/>
        <v>0.01242608679916136</v>
      </c>
      <c r="G83" s="27">
        <v>9075</v>
      </c>
      <c r="H83" s="27">
        <v>1272225.50</v>
      </c>
      <c r="I83" s="26">
        <f t="shared" si="32"/>
        <v>1281300.50</v>
      </c>
      <c r="J83" s="29">
        <f t="shared" si="48"/>
        <v>0.0010235807325799998</v>
      </c>
      <c r="K83" s="29">
        <f t="shared" si="33"/>
        <v>3.3778164175139996E-4</v>
      </c>
      <c r="L83" s="27">
        <v>28971.70</v>
      </c>
      <c r="M83" s="27">
        <v>2392599</v>
      </c>
      <c r="N83" s="26">
        <f t="shared" si="34"/>
        <v>2421570.7</v>
      </c>
      <c r="O83" s="21">
        <f t="shared" si="44"/>
        <v>0.0014874349965834383</v>
      </c>
      <c r="P83" s="28">
        <f t="shared" si="45"/>
        <v>4.908535488725346E-4</v>
      </c>
      <c r="Q83" s="27">
        <v>42189</v>
      </c>
      <c r="R83" s="27">
        <v>1800233</v>
      </c>
      <c r="S83" s="26">
        <f t="shared" si="35"/>
        <v>1842422</v>
      </c>
      <c r="T83" s="24">
        <f t="shared" si="36"/>
        <v>9.568503833684339E-4</v>
      </c>
      <c r="U83" s="24">
        <f t="shared" si="37"/>
        <v>3.253291303452675E-4</v>
      </c>
      <c r="V83" s="24">
        <f t="shared" si="38"/>
        <v>0.0011539643209692021</v>
      </c>
      <c r="W83" s="25">
        <f t="shared" si="39"/>
        <v>5.192839444361409E-5</v>
      </c>
      <c r="X83" s="24">
        <f t="shared" si="40"/>
        <v>1.913700766736868E-5</v>
      </c>
      <c r="Y83" s="37">
        <v>53.7973245706733</v>
      </c>
      <c r="Z83" s="74">
        <f t="shared" si="46"/>
        <v>64353.472204584126</v>
      </c>
      <c r="AA83" s="22">
        <f t="shared" si="47"/>
        <v>0.02786838087552306</v>
      </c>
      <c r="AB83" s="22">
        <f t="shared" si="41"/>
        <v>6.967095218880765E-4</v>
      </c>
      <c r="AC83" s="22">
        <f t="shared" si="42"/>
        <v>0.0025471698113207547</v>
      </c>
      <c r="AD83" s="80">
        <f t="shared" si="43"/>
        <v>0.015741031534481174</v>
      </c>
      <c r="AE83" s="72"/>
    </row>
    <row r="84" spans="1:31" s="6" customFormat="1" ht="16.15" customHeight="1">
      <c r="A84" s="18" t="s">
        <v>315</v>
      </c>
      <c r="B84" s="32">
        <v>80</v>
      </c>
      <c r="C84" s="31" t="s">
        <v>315</v>
      </c>
      <c r="D84" s="23">
        <v>11020</v>
      </c>
      <c r="E84" s="30">
        <f t="shared" si="30"/>
        <v>0.004748162133794764</v>
      </c>
      <c r="F84" s="30">
        <f t="shared" si="31"/>
        <v>0.003038823765628649</v>
      </c>
      <c r="G84" s="27">
        <v>15297.01</v>
      </c>
      <c r="H84" s="27">
        <v>4172</v>
      </c>
      <c r="I84" s="26">
        <f t="shared" si="32"/>
        <v>19469.010000000002</v>
      </c>
      <c r="J84" s="29">
        <f t="shared" si="48"/>
        <v>1.555302875352608E-5</v>
      </c>
      <c r="K84" s="29">
        <f t="shared" si="33"/>
        <v>5.132499488663607E-6</v>
      </c>
      <c r="L84" s="27">
        <v>18607</v>
      </c>
      <c r="M84" s="27">
        <v>10600</v>
      </c>
      <c r="N84" s="26">
        <f t="shared" si="34"/>
        <v>29207</v>
      </c>
      <c r="O84" s="21">
        <f t="shared" si="44"/>
        <v>1.7940221173477395E-5</v>
      </c>
      <c r="P84" s="28">
        <f t="shared" si="45"/>
        <v>5.9202729872475406E-6</v>
      </c>
      <c r="Q84" s="27">
        <v>11762</v>
      </c>
      <c r="R84" s="27">
        <v>6720</v>
      </c>
      <c r="S84" s="26">
        <f t="shared" si="35"/>
        <v>18482</v>
      </c>
      <c r="T84" s="24">
        <f t="shared" si="36"/>
        <v>9.598511516588162E-6</v>
      </c>
      <c r="U84" s="24">
        <f t="shared" si="37"/>
        <v>3.2634939156399756E-6</v>
      </c>
      <c r="V84" s="24">
        <f t="shared" si="38"/>
        <v>1.4316266391551123E-5</v>
      </c>
      <c r="W84" s="25">
        <f t="shared" si="39"/>
        <v>6.442319876198005E-7</v>
      </c>
      <c r="X84" s="24">
        <f t="shared" si="40"/>
        <v>1.9197023033176325E-7</v>
      </c>
      <c r="Y84" s="37">
        <v>54.1478164371423</v>
      </c>
      <c r="Z84" s="74">
        <f t="shared" si="46"/>
        <v>15175.398752807914</v>
      </c>
      <c r="AA84" s="22">
        <f t="shared" si="47"/>
        <v>0.006571732307414842</v>
      </c>
      <c r="AB84" s="22">
        <f t="shared" si="41"/>
        <v>1.6429330768537106E-4</v>
      </c>
      <c r="AC84" s="22">
        <f t="shared" si="42"/>
        <v>0.0025471698113207547</v>
      </c>
      <c r="AD84" s="80">
        <f t="shared" si="43"/>
        <v>0.005751123086852727</v>
      </c>
      <c r="AE84" s="72"/>
    </row>
    <row r="85" spans="1:31" s="6" customFormat="1" ht="16.15" customHeight="1">
      <c r="A85" s="18" t="s">
        <v>316</v>
      </c>
      <c r="B85" s="32">
        <v>81</v>
      </c>
      <c r="C85" s="31" t="s">
        <v>316</v>
      </c>
      <c r="D85" s="23">
        <v>3355</v>
      </c>
      <c r="E85" s="30">
        <f t="shared" si="30"/>
        <v>0.0014455611577932335</v>
      </c>
      <c r="F85" s="30">
        <f t="shared" si="31"/>
        <v>9.251591409876695E-4</v>
      </c>
      <c r="G85" s="27">
        <v>11745.20</v>
      </c>
      <c r="H85" s="27">
        <v>1200</v>
      </c>
      <c r="I85" s="26">
        <f t="shared" si="32"/>
        <v>12945.20</v>
      </c>
      <c r="J85" s="29">
        <f t="shared" si="48"/>
        <v>1.034141272823558E-5</v>
      </c>
      <c r="K85" s="29">
        <f t="shared" si="33"/>
        <v>3.4126662003177417E-6</v>
      </c>
      <c r="L85" s="27">
        <v>9937</v>
      </c>
      <c r="M85" s="27">
        <v>4390</v>
      </c>
      <c r="N85" s="26">
        <f t="shared" si="34"/>
        <v>14327</v>
      </c>
      <c r="O85" s="21">
        <f t="shared" si="44"/>
        <v>8.800272152306318E-6</v>
      </c>
      <c r="P85" s="28">
        <f t="shared" si="45"/>
        <v>2.904089810261085E-6</v>
      </c>
      <c r="Q85" s="27">
        <v>36455</v>
      </c>
      <c r="R85" s="27">
        <v>3220</v>
      </c>
      <c r="S85" s="26">
        <f t="shared" si="35"/>
        <v>39675</v>
      </c>
      <c r="T85" s="24">
        <f t="shared" si="36"/>
        <v>2.0604963987698047E-5</v>
      </c>
      <c r="U85" s="24">
        <f t="shared" si="37"/>
        <v>7.005687755817336E-6</v>
      </c>
      <c r="V85" s="24">
        <f t="shared" si="38"/>
        <v>1.3322443766396164E-5</v>
      </c>
      <c r="W85" s="25">
        <f t="shared" si="39"/>
        <v>5.995099694878273E-7</v>
      </c>
      <c r="X85" s="24">
        <f t="shared" si="40"/>
        <v>4.1209927975396094E-7</v>
      </c>
      <c r="Y85" s="37">
        <v>50.9301522867029</v>
      </c>
      <c r="Z85" s="74">
        <f>D85*(9.261-0.1456*Y85)</f>
        <v>6191.88676977307</v>
      </c>
      <c r="AA85" s="22">
        <f t="shared" si="47"/>
        <v>0.002681407124227497</v>
      </c>
      <c r="AB85" s="22">
        <f t="shared" si="41"/>
        <v>6.703517810568742E-5</v>
      </c>
      <c r="AC85" s="22">
        <f t="shared" si="42"/>
        <v>0.0025471698113207547</v>
      </c>
      <c r="AD85" s="80">
        <f t="shared" si="43"/>
        <v>0.0035403757396633533</v>
      </c>
      <c r="AE85" s="72"/>
    </row>
    <row r="86" spans="1:31" s="6" customFormat="1" ht="16.15" customHeight="1">
      <c r="A86" s="18" t="s">
        <v>317</v>
      </c>
      <c r="B86" s="32">
        <v>82</v>
      </c>
      <c r="C86" s="31" t="s">
        <v>317</v>
      </c>
      <c r="D86" s="23">
        <v>3512</v>
      </c>
      <c r="E86" s="30">
        <f t="shared" si="30"/>
        <v>0.0015132073878300555</v>
      </c>
      <c r="F86" s="30">
        <f t="shared" si="31"/>
        <v>9.684527282112355E-4</v>
      </c>
      <c r="G86" s="27">
        <v>20675</v>
      </c>
      <c r="H86" s="27">
        <v>0</v>
      </c>
      <c r="I86" s="26">
        <f t="shared" si="32"/>
        <v>20675</v>
      </c>
      <c r="J86" s="29">
        <f t="shared" si="48"/>
        <v>1.6516446880409002E-5</v>
      </c>
      <c r="K86" s="29">
        <f t="shared" si="33"/>
        <v>5.450427470534971E-6</v>
      </c>
      <c r="L86" s="27">
        <v>181499.37</v>
      </c>
      <c r="M86" s="27">
        <v>75</v>
      </c>
      <c r="N86" s="26">
        <f t="shared" si="34"/>
        <v>181574.37</v>
      </c>
      <c r="O86" s="21">
        <f t="shared" si="44"/>
        <v>1.1153094659618648E-4</v>
      </c>
      <c r="P86" s="28">
        <f t="shared" si="45"/>
        <v>3.680521237674154E-5</v>
      </c>
      <c r="Q86" s="27">
        <v>304291.39</v>
      </c>
      <c r="R86" s="27">
        <v>17755</v>
      </c>
      <c r="S86" s="26">
        <f t="shared" si="35"/>
        <v>322046.39</v>
      </c>
      <c r="T86" s="24">
        <f t="shared" si="36"/>
        <v>1.6725278559087992E-4</v>
      </c>
      <c r="U86" s="24">
        <f t="shared" si="37"/>
        <v>5.686594710089918E-5</v>
      </c>
      <c r="V86" s="24">
        <f t="shared" si="38"/>
        <v>9.912158694817569E-5</v>
      </c>
      <c r="W86" s="25">
        <f t="shared" si="39"/>
        <v>4.460471412667906E-6</v>
      </c>
      <c r="X86" s="24">
        <f t="shared" si="40"/>
        <v>3.3450557118175985E-6</v>
      </c>
      <c r="Y86" s="37">
        <v>55.3705998474218</v>
      </c>
      <c r="Z86" s="74">
        <f t="shared" si="46"/>
        <v>4211.030805700431</v>
      </c>
      <c r="AA86" s="22">
        <f t="shared" si="47"/>
        <v>0.0018235940711752421</v>
      </c>
      <c r="AB86" s="22">
        <f t="shared" si="41"/>
        <v>4.558985177938106E-5</v>
      </c>
      <c r="AC86" s="22">
        <f t="shared" si="42"/>
        <v>0.0025471698113207547</v>
      </c>
      <c r="AD86" s="80">
        <f t="shared" si="43"/>
        <v>0.0035690179184358567</v>
      </c>
      <c r="AE86" s="72"/>
    </row>
    <row r="87" spans="1:31" s="6" customFormat="1" ht="16.15" customHeight="1">
      <c r="A87" s="18" t="s">
        <v>318</v>
      </c>
      <c r="B87" s="32">
        <v>83</v>
      </c>
      <c r="C87" s="33" t="s">
        <v>318</v>
      </c>
      <c r="D87" s="23">
        <v>1915</v>
      </c>
      <c r="E87" s="30">
        <f t="shared" si="30"/>
        <v>8.251116593663315E-4</v>
      </c>
      <c r="F87" s="30">
        <f t="shared" si="31"/>
        <v>5.280714619944522E-4</v>
      </c>
      <c r="G87" s="27">
        <v>2111674.8</v>
      </c>
      <c r="H87" s="27">
        <v>1081412</v>
      </c>
      <c r="I87" s="26">
        <f t="shared" si="32"/>
        <v>3193086.80</v>
      </c>
      <c r="J87" s="29">
        <f t="shared" si="48"/>
        <v>0.002550831850869899</v>
      </c>
      <c r="K87" s="29">
        <f t="shared" si="33"/>
        <v>8.417745107870668E-4</v>
      </c>
      <c r="L87" s="27">
        <v>1800439.33</v>
      </c>
      <c r="M87" s="27">
        <v>1146937</v>
      </c>
      <c r="N87" s="26">
        <f t="shared" si="34"/>
        <v>2947376.33</v>
      </c>
      <c r="O87" s="21">
        <f t="shared" si="44"/>
        <v>0.00181040788994666</v>
      </c>
      <c r="P87" s="28">
        <f t="shared" si="45"/>
        <v>5.974346036823978E-4</v>
      </c>
      <c r="Q87" s="27">
        <v>268614.18</v>
      </c>
      <c r="R87" s="27">
        <v>410752</v>
      </c>
      <c r="S87" s="26">
        <f t="shared" si="35"/>
        <v>679366.1799999999</v>
      </c>
      <c r="T87" s="24">
        <f t="shared" si="36"/>
        <v>3.528245916410835E-4</v>
      </c>
      <c r="U87" s="24">
        <f t="shared" si="37"/>
        <v>1.1996036115796841E-4</v>
      </c>
      <c r="V87" s="24">
        <f t="shared" si="38"/>
        <v>0.001559169475627433</v>
      </c>
      <c r="W87" s="25">
        <f t="shared" si="39"/>
        <v>7.016262640323448E-5</v>
      </c>
      <c r="X87" s="24">
        <f t="shared" si="40"/>
        <v>7.05649183282167E-6</v>
      </c>
      <c r="Y87" s="37">
        <v>55.268992057507</v>
      </c>
      <c r="Z87" s="74">
        <f t="shared" si="46"/>
        <v>2324.493558557667</v>
      </c>
      <c r="AA87" s="22">
        <f t="shared" si="47"/>
        <v>0.001006625899324365</v>
      </c>
      <c r="AB87" s="22">
        <f t="shared" si="41"/>
        <v>2.5165647483109125E-5</v>
      </c>
      <c r="AC87" s="22">
        <f t="shared" si="42"/>
        <v>0.0025471698113207547</v>
      </c>
      <c r="AD87" s="80">
        <f t="shared" si="43"/>
        <v>0.0031776260390343723</v>
      </c>
      <c r="AE87" s="72"/>
    </row>
    <row r="88" spans="1:31" s="6" customFormat="1" ht="16.15" customHeight="1">
      <c r="A88" s="18" t="s">
        <v>319</v>
      </c>
      <c r="B88" s="32">
        <v>84</v>
      </c>
      <c r="C88" s="31" t="s">
        <v>319</v>
      </c>
      <c r="D88" s="23">
        <v>7037</v>
      </c>
      <c r="E88" s="30">
        <f t="shared" si="30"/>
        <v>0.0030320160558542425</v>
      </c>
      <c r="F88" s="30">
        <f t="shared" si="31"/>
        <v>0.0019404902757467152</v>
      </c>
      <c r="G88" s="27">
        <v>31187.76</v>
      </c>
      <c r="H88" s="27">
        <v>0</v>
      </c>
      <c r="I88" s="26">
        <f t="shared" si="32"/>
        <v>31187.76</v>
      </c>
      <c r="J88" s="29">
        <f t="shared" si="48"/>
        <v>2.4914678663068667E-5</v>
      </c>
      <c r="K88" s="29">
        <f t="shared" si="33"/>
        <v>8.22184395881266E-6</v>
      </c>
      <c r="L88" s="27">
        <v>138782</v>
      </c>
      <c r="M88" s="27">
        <v>0</v>
      </c>
      <c r="N88" s="26">
        <f t="shared" si="34"/>
        <v>138782</v>
      </c>
      <c r="O88" s="21">
        <f t="shared" si="44"/>
        <v>8.524599496345191E-5</v>
      </c>
      <c r="P88" s="28">
        <f t="shared" si="45"/>
        <v>2.813117833793913E-5</v>
      </c>
      <c r="Q88" s="27">
        <v>0</v>
      </c>
      <c r="R88" s="27">
        <v>0</v>
      </c>
      <c r="S88" s="26">
        <f t="shared" si="35"/>
        <v>0</v>
      </c>
      <c r="T88" s="24">
        <f t="shared" si="36"/>
        <v>0</v>
      </c>
      <c r="U88" s="24">
        <f t="shared" si="37"/>
        <v>0</v>
      </c>
      <c r="V88" s="24">
        <f t="shared" si="38"/>
        <v>3.635302229675179E-5</v>
      </c>
      <c r="W88" s="25">
        <f t="shared" si="39"/>
        <v>1.6358860033538305E-6</v>
      </c>
      <c r="X88" s="24">
        <f t="shared" si="40"/>
        <v>0</v>
      </c>
      <c r="Y88" s="37">
        <v>53.2971545292461</v>
      </c>
      <c r="Z88" s="74">
        <f t="shared" si="46"/>
        <v>10562.074672912411</v>
      </c>
      <c r="AA88" s="22">
        <f t="shared" si="47"/>
        <v>0.0045739244478477615</v>
      </c>
      <c r="AB88" s="22">
        <f t="shared" si="41"/>
        <v>1.1434811119619404E-4</v>
      </c>
      <c r="AC88" s="22">
        <f t="shared" si="42"/>
        <v>0.0025471698113207547</v>
      </c>
      <c r="AD88" s="80">
        <f t="shared" si="43"/>
        <v>0.0046036440842670175</v>
      </c>
      <c r="AE88" s="72"/>
    </row>
    <row r="89" spans="1:31" s="6" customFormat="1" ht="16.15" customHeight="1">
      <c r="A89" s="18" t="s">
        <v>374</v>
      </c>
      <c r="B89" s="32">
        <v>85</v>
      </c>
      <c r="C89" s="31" t="s">
        <v>320</v>
      </c>
      <c r="D89" s="23">
        <v>16680</v>
      </c>
      <c r="E89" s="30">
        <f t="shared" si="30"/>
        <v>0.007186873356778281</v>
      </c>
      <c r="F89" s="30">
        <f t="shared" si="31"/>
        <v>0.0045995989483381</v>
      </c>
      <c r="G89" s="27">
        <v>91988.48</v>
      </c>
      <c r="H89" s="27">
        <v>90214</v>
      </c>
      <c r="I89" s="26">
        <f t="shared" si="32"/>
        <v>182202.47999999998</v>
      </c>
      <c r="J89" s="29">
        <f t="shared" si="48"/>
        <v>1.4555441752835713E-4</v>
      </c>
      <c r="K89" s="29">
        <f t="shared" si="33"/>
        <v>4.803295778435786E-5</v>
      </c>
      <c r="L89" s="27">
        <v>106325.11</v>
      </c>
      <c r="M89" s="27">
        <v>29135</v>
      </c>
      <c r="N89" s="26">
        <f t="shared" si="34"/>
        <v>135460.11</v>
      </c>
      <c r="O89" s="21">
        <f t="shared" si="44"/>
        <v>8.320554434154746E-5</v>
      </c>
      <c r="P89" s="28">
        <f t="shared" si="45"/>
        <v>2.7457829632710663E-5</v>
      </c>
      <c r="Q89" s="27">
        <v>64582.04</v>
      </c>
      <c r="R89" s="27">
        <v>56090</v>
      </c>
      <c r="S89" s="26">
        <f t="shared" si="35"/>
        <v>120672.04000000001</v>
      </c>
      <c r="T89" s="24">
        <f t="shared" si="36"/>
        <v>6.267027192242114E-5</v>
      </c>
      <c r="U89" s="24">
        <f t="shared" si="37"/>
        <v>2.130789245362319E-5</v>
      </c>
      <c r="V89" s="24">
        <f t="shared" si="38"/>
        <v>9.67986798706917E-5</v>
      </c>
      <c r="W89" s="25">
        <f t="shared" si="39"/>
        <v>4.355940594181127E-6</v>
      </c>
      <c r="X89" s="24">
        <f t="shared" si="40"/>
        <v>1.2534054384484228E-6</v>
      </c>
      <c r="Y89" s="37">
        <v>51.7476566748206</v>
      </c>
      <c r="Z89" s="74">
        <f t="shared" si="46"/>
        <v>28798.707018277284</v>
      </c>
      <c r="AA89" s="22">
        <f t="shared" si="47"/>
        <v>0.012471329182619926</v>
      </c>
      <c r="AB89" s="22">
        <f t="shared" si="41"/>
        <v>3.1178322956549817E-4</v>
      </c>
      <c r="AC89" s="22">
        <f t="shared" si="42"/>
        <v>0.0025471698113207547</v>
      </c>
      <c r="AD89" s="80">
        <f t="shared" si="43"/>
        <v>0.0074641613352569814</v>
      </c>
      <c r="AE89" s="72"/>
    </row>
    <row r="90" spans="1:31" s="6" customFormat="1" ht="16.15" customHeight="1">
      <c r="A90" s="18" t="s">
        <v>375</v>
      </c>
      <c r="B90" s="32">
        <v>86</v>
      </c>
      <c r="C90" s="31" t="s">
        <v>321</v>
      </c>
      <c r="D90" s="23">
        <v>2133</v>
      </c>
      <c r="E90" s="30">
        <f t="shared" si="30"/>
        <v>9.190408195448486E-4</v>
      </c>
      <c r="F90" s="30">
        <f t="shared" si="31"/>
        <v>5.881861245087031E-4</v>
      </c>
      <c r="G90" s="27">
        <v>6513</v>
      </c>
      <c r="H90" s="27">
        <v>0</v>
      </c>
      <c r="I90" s="26">
        <f t="shared" si="32"/>
        <v>6513</v>
      </c>
      <c r="J90" s="29">
        <f t="shared" si="48"/>
        <v>5.202980340125941E-6</v>
      </c>
      <c r="K90" s="29">
        <f t="shared" si="33"/>
        <v>1.7169835122415608E-6</v>
      </c>
      <c r="L90" s="27">
        <v>33382</v>
      </c>
      <c r="M90" s="27">
        <v>0</v>
      </c>
      <c r="N90" s="26">
        <f t="shared" si="34"/>
        <v>33382</v>
      </c>
      <c r="O90" s="21">
        <f t="shared" si="44"/>
        <v>2.0504689396823447E-5</v>
      </c>
      <c r="P90" s="28">
        <f t="shared" si="45"/>
        <v>6.7665475009517375E-6</v>
      </c>
      <c r="Q90" s="27">
        <v>28228</v>
      </c>
      <c r="R90" s="27">
        <v>0</v>
      </c>
      <c r="S90" s="26">
        <f t="shared" si="35"/>
        <v>28228</v>
      </c>
      <c r="T90" s="24">
        <f t="shared" si="36"/>
        <v>1.4660035877624209E-5</v>
      </c>
      <c r="U90" s="24">
        <f t="shared" si="37"/>
        <v>4.984412198392232E-6</v>
      </c>
      <c r="V90" s="24">
        <f t="shared" si="38"/>
        <v>1.346794321158553E-5</v>
      </c>
      <c r="W90" s="25">
        <f t="shared" si="39"/>
        <v>6.060574445213488E-7</v>
      </c>
      <c r="X90" s="24">
        <f t="shared" si="40"/>
        <v>2.932007175524842E-7</v>
      </c>
      <c r="Y90" s="37">
        <v>50.617111523905</v>
      </c>
      <c r="Z90" s="74">
        <f t="shared" si="46"/>
        <v>4033.819883000745</v>
      </c>
      <c r="AA90" s="22">
        <f t="shared" si="47"/>
        <v>0.0017468525789151564</v>
      </c>
      <c r="AB90" s="22">
        <f t="shared" si="41"/>
        <v>4.367131447287891E-5</v>
      </c>
      <c r="AC90" s="22">
        <f t="shared" si="42"/>
        <v>0.0025471698113207547</v>
      </c>
      <c r="AD90" s="80">
        <f t="shared" si="43"/>
        <v>0.003179926508464411</v>
      </c>
      <c r="AE90" s="72"/>
    </row>
    <row r="91" spans="1:31" s="6" customFormat="1" ht="16.15" customHeight="1">
      <c r="A91" s="18" t="s">
        <v>376</v>
      </c>
      <c r="B91" s="32">
        <v>87</v>
      </c>
      <c r="C91" s="31" t="s">
        <v>322</v>
      </c>
      <c r="D91" s="23">
        <v>5464</v>
      </c>
      <c r="E91" s="30">
        <f t="shared" si="30"/>
        <v>0.0023542611523643003</v>
      </c>
      <c r="F91" s="30">
        <f t="shared" si="31"/>
        <v>0.0015067271375131521</v>
      </c>
      <c r="G91" s="27">
        <v>26669</v>
      </c>
      <c r="H91" s="27">
        <v>405</v>
      </c>
      <c r="I91" s="26">
        <f t="shared" si="32"/>
        <v>27074</v>
      </c>
      <c r="J91" s="29">
        <f t="shared" si="48"/>
        <v>2.1628357090214915E-5</v>
      </c>
      <c r="K91" s="29">
        <f t="shared" si="33"/>
        <v>7.1373578397709225E-6</v>
      </c>
      <c r="L91" s="27">
        <v>667096.92</v>
      </c>
      <c r="M91" s="27">
        <v>3405</v>
      </c>
      <c r="N91" s="26">
        <f t="shared" si="34"/>
        <v>670501.92</v>
      </c>
      <c r="O91" s="21">
        <f t="shared" si="44"/>
        <v>4.118517047982075E-4</v>
      </c>
      <c r="P91" s="28">
        <f t="shared" si="45"/>
        <v>1.359110625834085E-4</v>
      </c>
      <c r="Q91" s="27">
        <v>452556.45</v>
      </c>
      <c r="R91" s="27">
        <v>4190</v>
      </c>
      <c r="S91" s="26">
        <f t="shared" si="35"/>
        <v>456746.45</v>
      </c>
      <c r="T91" s="24">
        <f t="shared" si="36"/>
        <v>2.372084222749572E-4</v>
      </c>
      <c r="U91" s="24">
        <f t="shared" si="37"/>
        <v>8.065086357348545E-5</v>
      </c>
      <c r="V91" s="24">
        <f t="shared" si="38"/>
        <v>2.2369928399666484E-4</v>
      </c>
      <c r="W91" s="25">
        <f t="shared" si="39"/>
        <v>1.0066467779849916E-5</v>
      </c>
      <c r="X91" s="24">
        <f t="shared" si="40"/>
        <v>4.744168445499144E-6</v>
      </c>
      <c r="Y91" s="37">
        <v>51.1397437500784</v>
      </c>
      <c r="Z91" s="74">
        <f t="shared" si="46"/>
        <v>9917.451285777623</v>
      </c>
      <c r="AA91" s="22">
        <f t="shared" si="47"/>
        <v>0.00429476919081934</v>
      </c>
      <c r="AB91" s="22">
        <f t="shared" si="41"/>
        <v>1.073692297704835E-4</v>
      </c>
      <c r="AC91" s="22">
        <f t="shared" si="42"/>
        <v>0.0025471698113207547</v>
      </c>
      <c r="AD91" s="80">
        <f t="shared" si="43"/>
        <v>0.004176076814829739</v>
      </c>
      <c r="AE91" s="72"/>
    </row>
    <row r="92" spans="1:31" s="6" customFormat="1" ht="16.15" customHeight="1">
      <c r="A92" s="18" t="s">
        <v>323</v>
      </c>
      <c r="B92" s="32">
        <v>88</v>
      </c>
      <c r="C92" s="33" t="s">
        <v>323</v>
      </c>
      <c r="D92" s="23">
        <v>1917</v>
      </c>
      <c r="E92" s="30">
        <f t="shared" si="30"/>
        <v>8.259733947808133E-4</v>
      </c>
      <c r="F92" s="30">
        <f t="shared" si="31"/>
        <v>5.286229726597205E-4</v>
      </c>
      <c r="G92" s="27">
        <v>22760</v>
      </c>
      <c r="H92" s="27">
        <v>0</v>
      </c>
      <c r="I92" s="26">
        <f t="shared" si="32"/>
        <v>22760</v>
      </c>
      <c r="J92" s="29">
        <f t="shared" si="48"/>
        <v>1.818207163231482E-5</v>
      </c>
      <c r="K92" s="29">
        <f t="shared" si="33"/>
        <v>6.0000836386638905E-6</v>
      </c>
      <c r="L92" s="27">
        <v>17180</v>
      </c>
      <c r="M92" s="27">
        <v>0</v>
      </c>
      <c r="N92" s="26">
        <f t="shared" si="34"/>
        <v>17180</v>
      </c>
      <c r="O92" s="21">
        <f t="shared" si="44"/>
        <v>1.0552709958583273E-5</v>
      </c>
      <c r="P92" s="28">
        <f t="shared" si="45"/>
        <v>3.48239428633248E-6</v>
      </c>
      <c r="Q92" s="27">
        <v>9480</v>
      </c>
      <c r="R92" s="27">
        <v>0</v>
      </c>
      <c r="S92" s="26">
        <f t="shared" si="35"/>
        <v>9480</v>
      </c>
      <c r="T92" s="24">
        <f t="shared" si="36"/>
        <v>4.923378918799685E-6</v>
      </c>
      <c r="U92" s="24">
        <f t="shared" si="37"/>
        <v>1.673948832391893E-6</v>
      </c>
      <c r="V92" s="24">
        <f t="shared" si="38"/>
        <v>1.1156426757388264E-5</v>
      </c>
      <c r="W92" s="25">
        <f t="shared" si="39"/>
        <v>5.020392040824718E-7</v>
      </c>
      <c r="X92" s="24">
        <f t="shared" si="40"/>
        <v>9.84675783759937E-8</v>
      </c>
      <c r="Y92" s="37">
        <v>52.5405473360637</v>
      </c>
      <c r="Z92" s="74">
        <f t="shared" si="46"/>
        <v>3088.4716221851104</v>
      </c>
      <c r="AA92" s="22">
        <f t="shared" si="47"/>
        <v>0.0013374679025348391</v>
      </c>
      <c r="AB92" s="22">
        <f t="shared" si="41"/>
        <v>3.343669756337098E-5</v>
      </c>
      <c r="AC92" s="22">
        <f t="shared" si="42"/>
        <v>0.0025471698113207547</v>
      </c>
      <c r="AD92" s="80">
        <f t="shared" si="43"/>
        <v>0.0031098299883263046</v>
      </c>
      <c r="AE92" s="72"/>
    </row>
    <row r="93" spans="1:31" s="6" customFormat="1" ht="16.15" customHeight="1">
      <c r="A93" s="18" t="s">
        <v>324</v>
      </c>
      <c r="B93" s="32">
        <v>89</v>
      </c>
      <c r="C93" s="31" t="s">
        <v>324</v>
      </c>
      <c r="D93" s="23">
        <v>40495</v>
      </c>
      <c r="E93" s="30">
        <f t="shared" si="30"/>
        <v>0.017447987804720413</v>
      </c>
      <c r="F93" s="30">
        <f t="shared" si="31"/>
        <v>0.011166712195021064</v>
      </c>
      <c r="G93" s="27">
        <v>1102499.61</v>
      </c>
      <c r="H93" s="27">
        <v>1757771.21</v>
      </c>
      <c r="I93" s="26">
        <f t="shared" si="32"/>
        <v>2860270.8200000003</v>
      </c>
      <c r="J93" s="29">
        <f t="shared" si="48"/>
        <v>0.002284958213403333</v>
      </c>
      <c r="K93" s="29">
        <f t="shared" si="33"/>
        <v>7.540362104230999E-4</v>
      </c>
      <c r="L93" s="27">
        <v>1188156.49</v>
      </c>
      <c r="M93" s="27">
        <v>1788311.96</v>
      </c>
      <c r="N93" s="26">
        <f t="shared" si="34"/>
        <v>2976468.45</v>
      </c>
      <c r="O93" s="21">
        <f t="shared" si="44"/>
        <v>0.0018282775467825332</v>
      </c>
      <c r="P93" s="28">
        <f t="shared" si="45"/>
        <v>6.03331590438236E-4</v>
      </c>
      <c r="Q93" s="27">
        <v>1353877.77</v>
      </c>
      <c r="R93" s="27">
        <v>1836298.63</v>
      </c>
      <c r="S93" s="26">
        <f t="shared" si="35"/>
        <v>3190176.40</v>
      </c>
      <c r="T93" s="24">
        <f t="shared" si="36"/>
        <v>0.0016567982315413786</v>
      </c>
      <c r="U93" s="24">
        <f t="shared" si="37"/>
        <v>5.633113987240688E-4</v>
      </c>
      <c r="V93" s="24">
        <f t="shared" si="38"/>
        <v>0.0019206791995854048</v>
      </c>
      <c r="W93" s="25">
        <f t="shared" si="39"/>
        <v>8.643056398134322E-5</v>
      </c>
      <c r="X93" s="24">
        <f t="shared" si="40"/>
        <v>3.3135964630827575E-5</v>
      </c>
      <c r="Y93" s="37">
        <v>56.0262301483597</v>
      </c>
      <c r="Z93" s="74">
        <f t="shared" si="46"/>
        <v>44689.50815670045</v>
      </c>
      <c r="AA93" s="22">
        <f t="shared" si="47"/>
        <v>0.01935286771304947</v>
      </c>
      <c r="AB93" s="22">
        <f t="shared" si="41"/>
        <v>4.8382169282623676E-4</v>
      </c>
      <c r="AC93" s="22">
        <f t="shared" si="42"/>
        <v>0.0025471698113207547</v>
      </c>
      <c r="AD93" s="80">
        <f t="shared" si="43"/>
        <v>0.014317270227780225</v>
      </c>
      <c r="AE93" s="72"/>
    </row>
    <row r="94" spans="1:31" s="6" customFormat="1" ht="16.15" customHeight="1">
      <c r="A94" s="18" t="s">
        <v>325</v>
      </c>
      <c r="B94" s="32">
        <v>90</v>
      </c>
      <c r="C94" s="31" t="s">
        <v>325</v>
      </c>
      <c r="D94" s="23">
        <v>7503</v>
      </c>
      <c r="E94" s="30">
        <f t="shared" si="30"/>
        <v>0.0032328004074285038</v>
      </c>
      <c r="F94" s="30">
        <f t="shared" si="31"/>
        <v>0.0020689922607542424</v>
      </c>
      <c r="G94" s="27">
        <v>9038</v>
      </c>
      <c r="H94" s="27">
        <v>8278</v>
      </c>
      <c r="I94" s="26">
        <f t="shared" si="32"/>
        <v>17316</v>
      </c>
      <c r="J94" s="29">
        <f t="shared" si="48"/>
        <v>1.3833073479137234E-5</v>
      </c>
      <c r="K94" s="29">
        <f t="shared" si="33"/>
        <v>4.564914248115287E-6</v>
      </c>
      <c r="L94" s="27">
        <v>26792</v>
      </c>
      <c r="M94" s="27">
        <v>10123</v>
      </c>
      <c r="N94" s="26">
        <f t="shared" si="34"/>
        <v>36915</v>
      </c>
      <c r="O94" s="21">
        <f t="shared" si="44"/>
        <v>2.2674813045465744E-5</v>
      </c>
      <c r="P94" s="28">
        <f t="shared" si="45"/>
        <v>7.482688305003696E-6</v>
      </c>
      <c r="Q94" s="27">
        <v>32217</v>
      </c>
      <c r="R94" s="27">
        <v>21222.50</v>
      </c>
      <c r="S94" s="26">
        <f t="shared" si="35"/>
        <v>53439.50</v>
      </c>
      <c r="T94" s="24">
        <f t="shared" si="36"/>
        <v>2.7753471279662E-5</v>
      </c>
      <c r="U94" s="24">
        <f t="shared" si="37"/>
        <v>9.43618023508508E-6</v>
      </c>
      <c r="V94" s="24">
        <f t="shared" si="38"/>
        <v>2.1483782788204066E-5</v>
      </c>
      <c r="W94" s="25">
        <f t="shared" si="39"/>
        <v>9.667702254691829E-7</v>
      </c>
      <c r="X94" s="24">
        <f t="shared" si="40"/>
        <v>5.5506942559324E-7</v>
      </c>
      <c r="Y94" s="37">
        <v>51.8840725621149</v>
      </c>
      <c r="Z94" s="74">
        <f t="shared" si="46"/>
        <v>12805.212799275389</v>
      </c>
      <c r="AA94" s="22">
        <f t="shared" si="47"/>
        <v>0.0055453192385306735</v>
      </c>
      <c r="AB94" s="22">
        <f t="shared" si="41"/>
        <v>1.3863298096326683E-4</v>
      </c>
      <c r="AC94" s="22">
        <f t="shared" si="42"/>
        <v>0.0025471698113207547</v>
      </c>
      <c r="AD94" s="80">
        <f t="shared" si="43"/>
        <v>0.004756316892689326</v>
      </c>
      <c r="AE94" s="72"/>
    </row>
    <row r="95" spans="1:31" s="6" customFormat="1" ht="16.15" customHeight="1">
      <c r="A95" s="18" t="s">
        <v>326</v>
      </c>
      <c r="B95" s="32">
        <v>91</v>
      </c>
      <c r="C95" s="31" t="s">
        <v>326</v>
      </c>
      <c r="D95" s="23">
        <v>12700</v>
      </c>
      <c r="E95" s="30">
        <f t="shared" si="30"/>
        <v>0.005472019881959483</v>
      </c>
      <c r="F95" s="30">
        <f t="shared" si="31"/>
        <v>0.003502092724454069</v>
      </c>
      <c r="G95" s="27">
        <v>69370.23</v>
      </c>
      <c r="H95" s="27">
        <v>33865.50</v>
      </c>
      <c r="I95" s="26">
        <f t="shared" si="32"/>
        <v>103235.73</v>
      </c>
      <c r="J95" s="29">
        <f t="shared" si="48"/>
        <v>8.247097705950404E-5</v>
      </c>
      <c r="K95" s="29">
        <f t="shared" si="33"/>
        <v>2.7215422429636335E-5</v>
      </c>
      <c r="L95" s="27">
        <v>591793.04</v>
      </c>
      <c r="M95" s="27">
        <v>83500</v>
      </c>
      <c r="N95" s="26">
        <f t="shared" si="34"/>
        <v>675293.04</v>
      </c>
      <c r="O95" s="21">
        <f t="shared" si="44"/>
        <v>4.14794620964492E-4</v>
      </c>
      <c r="P95" s="28">
        <f t="shared" si="45"/>
        <v>1.3688222491828239E-4</v>
      </c>
      <c r="Q95" s="27">
        <v>468470.08</v>
      </c>
      <c r="R95" s="27">
        <v>101860</v>
      </c>
      <c r="S95" s="26">
        <f t="shared" si="35"/>
        <v>570330.0800000001</v>
      </c>
      <c r="T95" s="24">
        <f t="shared" si="36"/>
        <v>2.9619737264022553E-4</v>
      </c>
      <c r="U95" s="24">
        <f t="shared" si="37"/>
        <v>1.0070710669767669E-4</v>
      </c>
      <c r="V95" s="24">
        <f t="shared" si="38"/>
        <v>2.648047540455954E-4</v>
      </c>
      <c r="W95" s="25">
        <f t="shared" si="39"/>
        <v>1.1916213932051792E-5</v>
      </c>
      <c r="X95" s="24">
        <f t="shared" si="40"/>
        <v>5.923947452804511E-6</v>
      </c>
      <c r="Y95" s="37">
        <v>53.4527508801609</v>
      </c>
      <c r="Z95" s="74">
        <f t="shared" si="46"/>
        <v>18774.149292476868</v>
      </c>
      <c r="AA95" s="22">
        <f t="shared" si="47"/>
        <v>0.00813017736530784</v>
      </c>
      <c r="AB95" s="22">
        <f t="shared" si="41"/>
        <v>2.03254434132696E-4</v>
      </c>
      <c r="AC95" s="22">
        <f t="shared" si="42"/>
        <v>0.0025471698113207547</v>
      </c>
      <c r="AD95" s="80">
        <f t="shared" si="43"/>
        <v>0.006270357131292375</v>
      </c>
      <c r="AE95" s="72"/>
    </row>
    <row r="96" spans="1:31" s="6" customFormat="1" ht="16.15" customHeight="1">
      <c r="A96" s="18" t="s">
        <v>327</v>
      </c>
      <c r="B96" s="32">
        <v>92</v>
      </c>
      <c r="C96" s="31" t="s">
        <v>327</v>
      </c>
      <c r="D96" s="23">
        <v>7888</v>
      </c>
      <c r="E96" s="30">
        <f t="shared" si="30"/>
        <v>0.003398684474716252</v>
      </c>
      <c r="F96" s="30">
        <f t="shared" si="31"/>
        <v>0.0021751580638184015</v>
      </c>
      <c r="G96" s="27">
        <v>9226.32</v>
      </c>
      <c r="H96" s="27">
        <v>0</v>
      </c>
      <c r="I96" s="26">
        <f t="shared" si="32"/>
        <v>9226.32</v>
      </c>
      <c r="J96" s="29">
        <f t="shared" si="48"/>
        <v>7.370545305037736E-6</v>
      </c>
      <c r="K96" s="29">
        <f t="shared" si="33"/>
        <v>2.432279950662453E-6</v>
      </c>
      <c r="L96" s="27">
        <v>0</v>
      </c>
      <c r="M96" s="27">
        <v>0</v>
      </c>
      <c r="N96" s="26">
        <f t="shared" si="34"/>
        <v>0</v>
      </c>
      <c r="O96" s="21">
        <f t="shared" si="44"/>
        <v>0</v>
      </c>
      <c r="P96" s="28">
        <f t="shared" si="45"/>
        <v>0</v>
      </c>
      <c r="Q96" s="27">
        <v>0</v>
      </c>
      <c r="R96" s="27">
        <v>0</v>
      </c>
      <c r="S96" s="26">
        <f t="shared" si="35"/>
        <v>0</v>
      </c>
      <c r="T96" s="24">
        <f t="shared" si="36"/>
        <v>0</v>
      </c>
      <c r="U96" s="24">
        <f t="shared" si="37"/>
        <v>0</v>
      </c>
      <c r="V96" s="24">
        <f t="shared" si="38"/>
        <v>2.432279950662453E-6</v>
      </c>
      <c r="W96" s="25">
        <f t="shared" si="39"/>
        <v>1.0945259777981038E-7</v>
      </c>
      <c r="X96" s="24">
        <f t="shared" si="40"/>
        <v>0</v>
      </c>
      <c r="Y96" s="37">
        <v>48.9457723262077</v>
      </c>
      <c r="Z96" s="74">
        <f t="shared" si="46"/>
        <v>16836.90089291119</v>
      </c>
      <c r="AA96" s="22">
        <f t="shared" si="47"/>
        <v>0.007291248642426156</v>
      </c>
      <c r="AB96" s="22">
        <f t="shared" si="41"/>
        <v>1.8228121606065392E-4</v>
      </c>
      <c r="AC96" s="22">
        <f t="shared" si="42"/>
        <v>0.0025471698113207547</v>
      </c>
      <c r="AD96" s="80">
        <f t="shared" si="43"/>
        <v>0.00490471854379759</v>
      </c>
      <c r="AE96" s="72"/>
    </row>
    <row r="97" spans="1:31" s="6" customFormat="1" ht="16.15" customHeight="1">
      <c r="A97" s="18" t="s">
        <v>328</v>
      </c>
      <c r="B97" s="32">
        <v>93</v>
      </c>
      <c r="C97" s="31" t="s">
        <v>328</v>
      </c>
      <c r="D97" s="23">
        <v>18420</v>
      </c>
      <c r="E97" s="30">
        <f t="shared" si="30"/>
        <v>0.007936583167377454</v>
      </c>
      <c r="F97" s="30">
        <f t="shared" si="31"/>
        <v>0.005079413227121571</v>
      </c>
      <c r="G97" s="27">
        <v>113084</v>
      </c>
      <c r="H97" s="27">
        <v>58113</v>
      </c>
      <c r="I97" s="26">
        <f t="shared" si="32"/>
        <v>171197</v>
      </c>
      <c r="J97" s="29">
        <f t="shared" si="48"/>
        <v>1.367625710561248E-4</v>
      </c>
      <c r="K97" s="29">
        <f t="shared" si="33"/>
        <v>4.513164844852118E-5</v>
      </c>
      <c r="L97" s="27">
        <v>343985</v>
      </c>
      <c r="M97" s="27">
        <v>223491</v>
      </c>
      <c r="N97" s="26">
        <f t="shared" si="34"/>
        <v>567476</v>
      </c>
      <c r="O97" s="21">
        <f t="shared" si="44"/>
        <v>3.4856866335605363E-4</v>
      </c>
      <c r="P97" s="28">
        <f t="shared" si="45"/>
        <v>1.150276589074977E-4</v>
      </c>
      <c r="Q97" s="27">
        <v>550557</v>
      </c>
      <c r="R97" s="27">
        <v>144074</v>
      </c>
      <c r="S97" s="26">
        <f t="shared" si="35"/>
        <v>694631</v>
      </c>
      <c r="T97" s="24">
        <f t="shared" si="36"/>
        <v>3.60752280774762E-4</v>
      </c>
      <c r="U97" s="24">
        <f t="shared" si="37"/>
        <v>1.226557754634191E-4</v>
      </c>
      <c r="V97" s="24">
        <f t="shared" si="38"/>
        <v>2.82815082819438E-4</v>
      </c>
      <c r="W97" s="25">
        <f t="shared" si="39"/>
        <v>1.272667872687471E-5</v>
      </c>
      <c r="X97" s="24">
        <f t="shared" si="40"/>
        <v>7.21504561549524E-6</v>
      </c>
      <c r="Y97" s="37">
        <v>56.8232198029765</v>
      </c>
      <c r="Z97" s="74">
        <f t="shared" si="46"/>
        <v>18190.47200296755</v>
      </c>
      <c r="AA97" s="22">
        <f t="shared" si="47"/>
        <v>0.007877414919783108</v>
      </c>
      <c r="AB97" s="22">
        <f t="shared" si="41"/>
        <v>1.969353729945777E-4</v>
      </c>
      <c r="AC97" s="22">
        <f t="shared" si="42"/>
        <v>0.0025471698113207547</v>
      </c>
      <c r="AD97" s="80">
        <f t="shared" si="43"/>
        <v>0.007843460135779273</v>
      </c>
      <c r="AE97" s="72"/>
    </row>
    <row r="98" spans="1:31" s="6" customFormat="1" ht="16.15" customHeight="1">
      <c r="A98" s="18" t="s">
        <v>377</v>
      </c>
      <c r="B98" s="32">
        <v>94</v>
      </c>
      <c r="C98" s="31" t="s">
        <v>329</v>
      </c>
      <c r="D98" s="23">
        <v>5444</v>
      </c>
      <c r="E98" s="30">
        <f t="shared" si="30"/>
        <v>0.0023456437982194824</v>
      </c>
      <c r="F98" s="30">
        <f t="shared" si="31"/>
        <v>0.0015012120308604687</v>
      </c>
      <c r="G98" s="27">
        <v>26896</v>
      </c>
      <c r="H98" s="27">
        <v>9018</v>
      </c>
      <c r="I98" s="26">
        <f t="shared" si="32"/>
        <v>35914</v>
      </c>
      <c r="J98" s="29">
        <f t="shared" si="48"/>
        <v>2.8690286493978668E-5</v>
      </c>
      <c r="K98" s="29">
        <f t="shared" si="33"/>
        <v>9.467794543012961E-6</v>
      </c>
      <c r="L98" s="27">
        <v>11312</v>
      </c>
      <c r="M98" s="27">
        <v>7934</v>
      </c>
      <c r="N98" s="26">
        <f t="shared" si="34"/>
        <v>19246</v>
      </c>
      <c r="O98" s="21">
        <f t="shared" si="44"/>
        <v>1.1821737826710923E-5</v>
      </c>
      <c r="P98" s="28">
        <f t="shared" si="45"/>
        <v>3.9011734828146045E-6</v>
      </c>
      <c r="Q98" s="27">
        <v>18853</v>
      </c>
      <c r="R98" s="27">
        <v>0</v>
      </c>
      <c r="S98" s="26">
        <f t="shared" si="35"/>
        <v>18853</v>
      </c>
      <c r="T98" s="24">
        <f t="shared" si="36"/>
        <v>9.791188054444141E-6</v>
      </c>
      <c r="U98" s="24">
        <f t="shared" si="37"/>
        <v>3.329003938511008E-6</v>
      </c>
      <c r="V98" s="24">
        <f t="shared" si="38"/>
        <v>1.6697971964338573E-5</v>
      </c>
      <c r="W98" s="25">
        <f t="shared" si="39"/>
        <v>7.514087383952358E-7</v>
      </c>
      <c r="X98" s="24">
        <f t="shared" si="40"/>
        <v>1.9582376108888282E-7</v>
      </c>
      <c r="Y98" s="37">
        <v>50.5089680215383</v>
      </c>
      <c r="Z98" s="74">
        <f t="shared" si="46"/>
        <v>10381.132330012535</v>
      </c>
      <c r="AA98" s="22">
        <f t="shared" si="47"/>
        <v>0.004495567057707062</v>
      </c>
      <c r="AB98" s="22">
        <f t="shared" si="41"/>
        <v>1.1238917644267656E-4</v>
      </c>
      <c r="AC98" s="22">
        <f t="shared" si="42"/>
        <v>0.0025471698113207547</v>
      </c>
      <c r="AD98" s="80">
        <f t="shared" si="43"/>
        <v>0.004161718251123384</v>
      </c>
      <c r="AE98" s="72"/>
    </row>
    <row r="99" spans="1:31" s="6" customFormat="1" ht="16.15" customHeight="1">
      <c r="A99" s="18" t="s">
        <v>378</v>
      </c>
      <c r="B99" s="32">
        <v>95</v>
      </c>
      <c r="C99" s="31" t="s">
        <v>330</v>
      </c>
      <c r="D99" s="23">
        <v>5690</v>
      </c>
      <c r="E99" s="30">
        <f t="shared" si="30"/>
        <v>0.0024516372542007447</v>
      </c>
      <c r="F99" s="30">
        <f t="shared" si="31"/>
        <v>0.0015690478426884766</v>
      </c>
      <c r="G99" s="27">
        <v>154925</v>
      </c>
      <c r="H99" s="27">
        <v>13290</v>
      </c>
      <c r="I99" s="26">
        <f>G99+H99</f>
        <v>168215</v>
      </c>
      <c r="J99" s="29">
        <f t="shared" si="48"/>
        <v>1.3438036817354295E-4</v>
      </c>
      <c r="K99" s="29">
        <f t="shared" si="33"/>
        <v>4.434552149726917E-5</v>
      </c>
      <c r="L99" s="27">
        <v>207174</v>
      </c>
      <c r="M99" s="27">
        <v>68970</v>
      </c>
      <c r="N99" s="26">
        <f t="shared" si="34"/>
        <v>276144</v>
      </c>
      <c r="O99" s="21">
        <f t="shared" si="44"/>
        <v>1.6961976360902324E-4</v>
      </c>
      <c r="P99" s="28">
        <f t="shared" si="45"/>
        <v>5.5974521990977674E-5</v>
      </c>
      <c r="Q99" s="27">
        <v>289285</v>
      </c>
      <c r="R99" s="27">
        <v>117475</v>
      </c>
      <c r="S99" s="26">
        <f t="shared" si="35"/>
        <v>406760</v>
      </c>
      <c r="T99" s="24">
        <f t="shared" si="36"/>
        <v>2.112482709927173E-4</v>
      </c>
      <c r="U99" s="24">
        <f t="shared" si="37"/>
        <v>7.182441213752388E-5</v>
      </c>
      <c r="V99" s="24">
        <f t="shared" si="38"/>
        <v>1.7214445562577072E-4</v>
      </c>
      <c r="W99" s="25">
        <f t="shared" si="39"/>
        <v>7.746500503159683E-6</v>
      </c>
      <c r="X99" s="24">
        <f t="shared" si="40"/>
        <v>4.224965419854346E-6</v>
      </c>
      <c r="Y99" s="37">
        <v>55.0001326669543</v>
      </c>
      <c r="Z99" s="74">
        <f t="shared" si="46"/>
        <v>7129.460090204367</v>
      </c>
      <c r="AA99" s="22">
        <f t="shared" si="47"/>
        <v>0.003087424849416332</v>
      </c>
      <c r="AB99" s="22">
        <f t="shared" si="41"/>
        <v>7.71856212354083E-5</v>
      </c>
      <c r="AC99" s="22">
        <f t="shared" si="42"/>
        <v>0.0025471698113207547</v>
      </c>
      <c r="AD99" s="80">
        <f t="shared" si="43"/>
        <v>0.004205374741167654</v>
      </c>
      <c r="AE99" s="72"/>
    </row>
    <row r="100" spans="1:31" s="6" customFormat="1" ht="16.15" customHeight="1">
      <c r="A100" s="18" t="s">
        <v>379</v>
      </c>
      <c r="B100" s="32">
        <v>96</v>
      </c>
      <c r="C100" s="31" t="s">
        <v>331</v>
      </c>
      <c r="D100" s="23">
        <v>80672</v>
      </c>
      <c r="E100" s="30">
        <f t="shared" si="30"/>
        <v>0.03475895967853822</v>
      </c>
      <c r="F100" s="30">
        <f t="shared" si="31"/>
        <v>0.02224573419426446</v>
      </c>
      <c r="G100" s="27">
        <v>4091545.04</v>
      </c>
      <c r="H100" s="27">
        <v>6137486.61</v>
      </c>
      <c r="I100" s="26">
        <f t="shared" si="32"/>
        <v>1.022903165E7</v>
      </c>
      <c r="J100" s="29">
        <f t="shared" si="48"/>
        <v>0.008171572328186093</v>
      </c>
      <c r="K100" s="29">
        <f t="shared" si="33"/>
        <v>0.002696618868301411</v>
      </c>
      <c r="L100" s="27">
        <v>5409405.88</v>
      </c>
      <c r="M100" s="27">
        <v>9510051.52</v>
      </c>
      <c r="N100" s="26">
        <f t="shared" si="34"/>
        <v>1.4919457399999999E7</v>
      </c>
      <c r="O100" s="21">
        <f t="shared" si="44"/>
        <v>0.00916418548787188</v>
      </c>
      <c r="P100" s="28">
        <f t="shared" si="45"/>
        <v>0.0030241812109977205</v>
      </c>
      <c r="Q100" s="27">
        <v>7530762.38</v>
      </c>
      <c r="R100" s="27">
        <v>8937348.15</v>
      </c>
      <c r="S100" s="26">
        <f t="shared" si="35"/>
        <v>1.6468110530000001E7</v>
      </c>
      <c r="T100" s="24">
        <f t="shared" si="36"/>
        <v>0.008552610571293789</v>
      </c>
      <c r="U100" s="24">
        <f t="shared" si="37"/>
        <v>0.0029078875942398883</v>
      </c>
      <c r="V100" s="24">
        <f t="shared" si="38"/>
        <v>0.00862868767353902</v>
      </c>
      <c r="W100" s="25">
        <f t="shared" si="39"/>
        <v>3.8829094530925585E-4</v>
      </c>
      <c r="X100" s="24">
        <f t="shared" si="40"/>
        <v>1.710522114258758E-4</v>
      </c>
      <c r="Y100" s="37">
        <v>53.4162083988111</v>
      </c>
      <c r="Z100" s="74">
        <f t="shared" si="46"/>
        <v>119684.98380904166</v>
      </c>
      <c r="AA100" s="22">
        <f t="shared" si="47"/>
        <v>0.05182978632866354</v>
      </c>
      <c r="AB100" s="22">
        <f t="shared" si="41"/>
        <v>0.0012957446582165886</v>
      </c>
      <c r="AC100" s="22">
        <f t="shared" si="42"/>
        <v>0.0025471698113207547</v>
      </c>
      <c r="AD100" s="80">
        <f t="shared" si="43"/>
        <v>0.026647991820536933</v>
      </c>
      <c r="AE100" s="72"/>
    </row>
    <row r="101" spans="1:31" s="6" customFormat="1" ht="16.15" customHeight="1">
      <c r="A101" s="18" t="s">
        <v>380</v>
      </c>
      <c r="B101" s="32">
        <v>97</v>
      </c>
      <c r="C101" s="31" t="s">
        <v>332</v>
      </c>
      <c r="D101" s="23">
        <v>3684</v>
      </c>
      <c r="E101" s="30">
        <f t="shared" si="49" ref="E101:E110">D101/$D$112</f>
        <v>0.0015873166334754909</v>
      </c>
      <c r="F101" s="30">
        <f t="shared" si="50" ref="F101:F110">E101*0.64</f>
        <v>0.001015882645424314</v>
      </c>
      <c r="G101" s="27">
        <v>48324</v>
      </c>
      <c r="H101" s="27">
        <v>240</v>
      </c>
      <c r="I101" s="26">
        <f t="shared" si="32"/>
        <v>48564</v>
      </c>
      <c r="J101" s="29">
        <f t="shared" si="48"/>
        <v>3.8795875516332905E-5</v>
      </c>
      <c r="K101" s="29">
        <f t="shared" si="33"/>
        <v>1.2802638920389859E-5</v>
      </c>
      <c r="L101" s="27">
        <v>0</v>
      </c>
      <c r="M101" s="27">
        <v>0</v>
      </c>
      <c r="N101" s="26">
        <f t="shared" si="34"/>
        <v>0</v>
      </c>
      <c r="O101" s="21">
        <f t="shared" si="44"/>
        <v>0</v>
      </c>
      <c r="P101" s="28">
        <f t="shared" si="45"/>
        <v>0</v>
      </c>
      <c r="Q101" s="27">
        <v>0</v>
      </c>
      <c r="R101" s="27">
        <v>300</v>
      </c>
      <c r="S101" s="26">
        <f t="shared" si="51" ref="S101:S110">Q101+R101</f>
        <v>300</v>
      </c>
      <c r="T101" s="24">
        <f t="shared" si="52" ref="T101:T110">S101/$S$112</f>
        <v>1.5580313034176218E-7</v>
      </c>
      <c r="U101" s="24">
        <f t="shared" si="53" ref="U101:U110">T101*0.34</f>
        <v>5.297306431619915E-8</v>
      </c>
      <c r="V101" s="24">
        <f t="shared" si="54" ref="V101:V110">K101+P101+U101</f>
        <v>1.2855611984706058E-5</v>
      </c>
      <c r="W101" s="25">
        <f t="shared" si="55" ref="W101:W110">V101*0.045</f>
        <v>5.785025393117727E-7</v>
      </c>
      <c r="X101" s="24">
        <f t="shared" si="56" ref="X101:X110">T101*0.02</f>
        <v>3.1160626068352437E-9</v>
      </c>
      <c r="Y101" s="37">
        <v>51.5400208621158</v>
      </c>
      <c r="Z101" s="74">
        <f t="shared" si="46"/>
        <v>6471.951593761355</v>
      </c>
      <c r="AA101" s="22">
        <f t="shared" si="47"/>
        <v>0.002802689673829939</v>
      </c>
      <c r="AB101" s="22">
        <f t="shared" si="57" ref="AB101:AB110">AA101*0.025</f>
        <v>7.006724184574848E-5</v>
      </c>
      <c r="AC101" s="22">
        <f t="shared" si="58" ref="AC101:AC110">0.27/106</f>
        <v>0.0025471698113207547</v>
      </c>
      <c r="AD101" s="80">
        <f t="shared" si="59" ref="AD101:AD110">F101+W101+X101+AB101+AC101</f>
        <v>0.003633701317192736</v>
      </c>
      <c r="AE101" s="72"/>
    </row>
    <row r="102" spans="1:31" s="6" customFormat="1" ht="16.15" customHeight="1">
      <c r="A102" s="18" t="s">
        <v>333</v>
      </c>
      <c r="B102" s="32">
        <v>98</v>
      </c>
      <c r="C102" s="31" t="s">
        <v>333</v>
      </c>
      <c r="D102" s="23">
        <v>15346</v>
      </c>
      <c r="E102" s="30">
        <f t="shared" si="49"/>
        <v>0.006612095835318916</v>
      </c>
      <c r="F102" s="30">
        <f t="shared" si="50"/>
        <v>0.004231741334604106</v>
      </c>
      <c r="G102" s="27">
        <v>23670.50</v>
      </c>
      <c r="H102" s="27">
        <v>26566.50</v>
      </c>
      <c r="I102" s="26">
        <f t="shared" si="32"/>
        <v>50237</v>
      </c>
      <c r="J102" s="29">
        <f t="shared" si="48"/>
        <v>4.0132369621818966E-5</v>
      </c>
      <c r="K102" s="29">
        <f t="shared" si="33"/>
        <v>1.324368197520026E-5</v>
      </c>
      <c r="L102" s="27">
        <v>34964.35</v>
      </c>
      <c r="M102" s="27">
        <v>29497.70</v>
      </c>
      <c r="N102" s="26">
        <f t="shared" si="34"/>
        <v>64462.05</v>
      </c>
      <c r="O102" s="21">
        <f t="shared" si="44"/>
        <v>3.959542008065733E-5</v>
      </c>
      <c r="P102" s="28">
        <f t="shared" si="45"/>
        <v>1.3066488626616919E-5</v>
      </c>
      <c r="Q102" s="27">
        <v>30321</v>
      </c>
      <c r="R102" s="27">
        <v>16944.70</v>
      </c>
      <c r="S102" s="26">
        <f t="shared" si="51"/>
        <v>47265.70</v>
      </c>
      <c r="T102" s="24">
        <f t="shared" si="52"/>
        <v>2.4547146725982093E-5</v>
      </c>
      <c r="U102" s="24">
        <f t="shared" si="53"/>
        <v>8.346029886833913E-6</v>
      </c>
      <c r="V102" s="24">
        <f t="shared" si="54"/>
        <v>3.4656200488651093E-5</v>
      </c>
      <c r="W102" s="25">
        <f t="shared" si="55"/>
        <v>1.559529021989299E-6</v>
      </c>
      <c r="X102" s="24">
        <f t="shared" si="56"/>
        <v>4.909429345196418E-7</v>
      </c>
      <c r="Y102" s="37">
        <v>53.404542909139</v>
      </c>
      <c r="Z102" s="74">
        <f t="shared" si="46"/>
        <v>22793.39158558096</v>
      </c>
      <c r="AA102" s="22">
        <f t="shared" si="47"/>
        <v>0.009870717094060141</v>
      </c>
      <c r="AB102" s="22">
        <f t="shared" si="57"/>
        <v>2.4676792735150353E-4</v>
      </c>
      <c r="AC102" s="22">
        <f t="shared" si="58"/>
        <v>0.0025471698113207547</v>
      </c>
      <c r="AD102" s="80">
        <f t="shared" si="59"/>
        <v>0.0070277295452328735</v>
      </c>
      <c r="AE102" s="72"/>
    </row>
    <row r="103" spans="1:31" s="6" customFormat="1" ht="16.15" customHeight="1">
      <c r="A103" s="18" t="s">
        <v>334</v>
      </c>
      <c r="B103" s="32">
        <v>99</v>
      </c>
      <c r="C103" s="31" t="s">
        <v>334</v>
      </c>
      <c r="D103" s="23">
        <v>4191</v>
      </c>
      <c r="E103" s="30">
        <f t="shared" si="49"/>
        <v>0.0018057665610466294</v>
      </c>
      <c r="F103" s="30">
        <f t="shared" si="50"/>
        <v>0.0011556905990698428</v>
      </c>
      <c r="G103" s="27">
        <v>2951.06</v>
      </c>
      <c r="H103" s="27">
        <v>0</v>
      </c>
      <c r="I103" s="26">
        <f t="shared" si="32"/>
        <v>2951.06</v>
      </c>
      <c r="J103" s="29">
        <f t="shared" si="48"/>
        <v>2.357486129668672E-6</v>
      </c>
      <c r="K103" s="29">
        <f t="shared" si="33"/>
        <v>7.779704227906617E-7</v>
      </c>
      <c r="L103" s="27">
        <v>25000</v>
      </c>
      <c r="M103" s="27">
        <v>0</v>
      </c>
      <c r="N103" s="26">
        <f t="shared" si="34"/>
        <v>25000</v>
      </c>
      <c r="O103" s="21">
        <f t="shared" si="44"/>
        <v>1.535609714578474E-5</v>
      </c>
      <c r="P103" s="28">
        <f t="shared" si="45"/>
        <v>5.0675120581089645E-6</v>
      </c>
      <c r="Q103" s="27">
        <v>980</v>
      </c>
      <c r="R103" s="27">
        <v>0</v>
      </c>
      <c r="S103" s="26">
        <f t="shared" si="51"/>
        <v>980</v>
      </c>
      <c r="T103" s="24">
        <f t="shared" si="52"/>
        <v>5.089568924497564E-7</v>
      </c>
      <c r="U103" s="24">
        <f t="shared" si="53"/>
        <v>1.730453434329172E-7</v>
      </c>
      <c r="V103" s="24">
        <f t="shared" si="54"/>
        <v>6.018527824332544E-6</v>
      </c>
      <c r="W103" s="25">
        <f t="shared" si="55"/>
        <v>2.7083375209496447E-7</v>
      </c>
      <c r="X103" s="24">
        <f t="shared" si="56"/>
        <v>1.017913784899513E-8</v>
      </c>
      <c r="Y103" s="37">
        <v>49.6852777840841</v>
      </c>
      <c r="Z103" s="74">
        <f t="shared" si="46"/>
        <v>8494.417517485152</v>
      </c>
      <c r="AA103" s="22">
        <f t="shared" si="47"/>
        <v>0.003678521990863586</v>
      </c>
      <c r="AB103" s="22">
        <f t="shared" si="57"/>
        <v>9.196304977158965E-5</v>
      </c>
      <c r="AC103" s="22">
        <f t="shared" si="58"/>
        <v>0.0025471698113207547</v>
      </c>
      <c r="AD103" s="80">
        <f t="shared" si="59"/>
        <v>0.003795104473052131</v>
      </c>
      <c r="AE103" s="72"/>
    </row>
    <row r="104" spans="1:31" s="6" customFormat="1" ht="16.15" customHeight="1">
      <c r="A104" s="18" t="s">
        <v>381</v>
      </c>
      <c r="B104" s="32">
        <v>100</v>
      </c>
      <c r="C104" s="31" t="s">
        <v>335</v>
      </c>
      <c r="D104" s="23">
        <v>4049</v>
      </c>
      <c r="E104" s="30">
        <f t="shared" si="49"/>
        <v>0.0017445833466184209</v>
      </c>
      <c r="F104" s="30">
        <f t="shared" si="50"/>
        <v>0.0011165333418357893</v>
      </c>
      <c r="G104" s="27">
        <v>308846.1</v>
      </c>
      <c r="H104" s="27">
        <v>10860</v>
      </c>
      <c r="I104" s="26">
        <f t="shared" si="32"/>
        <v>319706.1</v>
      </c>
      <c r="J104" s="29">
        <f t="shared" si="48"/>
        <v>2.554006683430582E-4</v>
      </c>
      <c r="K104" s="29">
        <f t="shared" si="33"/>
        <v>8.428222055320922E-5</v>
      </c>
      <c r="L104" s="27">
        <v>273613.11</v>
      </c>
      <c r="M104" s="27">
        <v>4040</v>
      </c>
      <c r="N104" s="26">
        <f t="shared" si="34"/>
        <v>277653.11</v>
      </c>
      <c r="O104" s="21">
        <f t="shared" si="44"/>
        <v>1.7054672519957025E-4</v>
      </c>
      <c r="P104" s="28">
        <f t="shared" si="45"/>
        <v>5.628041931585819E-5</v>
      </c>
      <c r="Q104" s="27">
        <v>269728.69</v>
      </c>
      <c r="R104" s="27">
        <v>0</v>
      </c>
      <c r="S104" s="26">
        <f t="shared" si="51"/>
        <v>269728.69</v>
      </c>
      <c r="T104" s="24">
        <f t="shared" si="52"/>
        <v>1.4008191414994255E-4</v>
      </c>
      <c r="U104" s="24">
        <f t="shared" si="53"/>
        <v>4.762785081098047E-5</v>
      </c>
      <c r="V104" s="24">
        <f t="shared" si="54"/>
        <v>1.8819049068004786E-4</v>
      </c>
      <c r="W104" s="25">
        <f t="shared" si="55"/>
        <v>8.468572080602153E-6</v>
      </c>
      <c r="X104" s="24">
        <f t="shared" si="56"/>
        <v>2.801638282998851E-6</v>
      </c>
      <c r="Y104" s="37">
        <v>54.3792227958554</v>
      </c>
      <c r="Z104" s="74">
        <f t="shared" si="46"/>
        <v>5439.366516579061</v>
      </c>
      <c r="AA104" s="22">
        <f t="shared" si="47"/>
        <v>0.002355526945363398</v>
      </c>
      <c r="AB104" s="22">
        <f t="shared" si="57"/>
        <v>5.888817363408495E-5</v>
      </c>
      <c r="AC104" s="22">
        <f t="shared" si="58"/>
        <v>0.0025471698113207547</v>
      </c>
      <c r="AD104" s="80">
        <f t="shared" si="59"/>
        <v>0.0037338615371542297</v>
      </c>
      <c r="AE104" s="72"/>
    </row>
    <row r="105" spans="1:31" s="6" customFormat="1" ht="16.15" customHeight="1">
      <c r="A105" s="18" t="s">
        <v>382</v>
      </c>
      <c r="B105" s="32">
        <v>101</v>
      </c>
      <c r="C105" s="31" t="s">
        <v>336</v>
      </c>
      <c r="D105" s="23">
        <v>69147</v>
      </c>
      <c r="E105" s="30">
        <f t="shared" si="49"/>
        <v>0.0297932093525868</v>
      </c>
      <c r="F105" s="30">
        <f t="shared" si="50"/>
        <v>0.019067653985655554</v>
      </c>
      <c r="G105" s="27">
        <v>1.19242649E7</v>
      </c>
      <c r="H105" s="27">
        <v>8305060.39</v>
      </c>
      <c r="I105" s="26">
        <f t="shared" si="32"/>
        <v>2.022932529E7</v>
      </c>
      <c r="J105" s="29">
        <f t="shared" si="48"/>
        <v>0.01616041482847881</v>
      </c>
      <c r="K105" s="29">
        <f t="shared" si="33"/>
        <v>0.005332936893398008</v>
      </c>
      <c r="L105" s="27">
        <v>1.449868088E7</v>
      </c>
      <c r="M105" s="27">
        <v>1.147832519E7</v>
      </c>
      <c r="N105" s="26">
        <f t="shared" si="34"/>
        <v>2.597700607E7</v>
      </c>
      <c r="O105" s="21">
        <f t="shared" si="44"/>
        <v>0.015956217150702393</v>
      </c>
      <c r="P105" s="28">
        <f t="shared" si="45"/>
        <v>0.00526555165973179</v>
      </c>
      <c r="Q105" s="27">
        <v>1.459233197E7</v>
      </c>
      <c r="R105" s="27">
        <v>1.34766151E7</v>
      </c>
      <c r="S105" s="26">
        <f t="shared" si="51"/>
        <v>2.806894707E7</v>
      </c>
      <c r="T105" s="24">
        <f t="shared" si="52"/>
        <v>0.014577432729677445</v>
      </c>
      <c r="U105" s="24">
        <f t="shared" si="53"/>
        <v>0.004956327128090332</v>
      </c>
      <c r="V105" s="24">
        <f t="shared" si="54"/>
        <v>0.01555481568122013</v>
      </c>
      <c r="W105" s="25">
        <f t="shared" si="55"/>
        <v>6.999667056549058E-4</v>
      </c>
      <c r="X105" s="24">
        <f t="shared" si="56"/>
        <v>2.915486545935489E-4</v>
      </c>
      <c r="Y105" s="37">
        <v>57.1401154036144</v>
      </c>
      <c r="Z105" s="74">
        <f t="shared" si="46"/>
        <v>65094.93029112149</v>
      </c>
      <c r="AA105" s="22">
        <f t="shared" si="47"/>
        <v>0.028189470564252982</v>
      </c>
      <c r="AB105" s="22">
        <f t="shared" si="57"/>
        <v>7.047367641063246E-4</v>
      </c>
      <c r="AC105" s="22">
        <f t="shared" si="58"/>
        <v>0.0025471698113207547</v>
      </c>
      <c r="AD105" s="80">
        <f t="shared" si="59"/>
        <v>0.02331107592133109</v>
      </c>
      <c r="AE105" s="72"/>
    </row>
    <row r="106" spans="1:31" s="6" customFormat="1" ht="16.15" customHeight="1">
      <c r="A106" s="18" t="s">
        <v>337</v>
      </c>
      <c r="B106" s="32">
        <v>102</v>
      </c>
      <c r="C106" s="31" t="s">
        <v>337</v>
      </c>
      <c r="D106" s="23">
        <v>85460</v>
      </c>
      <c r="E106" s="30">
        <f t="shared" si="49"/>
        <v>0.03682195426080767</v>
      </c>
      <c r="F106" s="30">
        <f t="shared" si="50"/>
        <v>0.02356605072691691</v>
      </c>
      <c r="G106" s="27">
        <v>4961059.62</v>
      </c>
      <c r="H106" s="27">
        <v>1.861354828E7</v>
      </c>
      <c r="I106" s="26">
        <f t="shared" si="32"/>
        <v>2.3574607900000002E7</v>
      </c>
      <c r="J106" s="29">
        <f t="shared" si="48"/>
        <v>0.01883282994470716</v>
      </c>
      <c r="K106" s="29">
        <f t="shared" si="33"/>
        <v>0.0062148338817533625</v>
      </c>
      <c r="L106" s="27">
        <v>7797448.32</v>
      </c>
      <c r="M106" s="27">
        <v>2.097021415E7</v>
      </c>
      <c r="N106" s="26">
        <f t="shared" si="34"/>
        <v>2.876766247E7</v>
      </c>
      <c r="O106" s="21">
        <f t="shared" si="44"/>
        <v>0.01767036078185863</v>
      </c>
      <c r="P106" s="28">
        <f t="shared" si="45"/>
        <v>0.005831219058013348</v>
      </c>
      <c r="Q106" s="27">
        <v>1.022683784E7</v>
      </c>
      <c r="R106" s="27">
        <v>2.240822965E7</v>
      </c>
      <c r="S106" s="26">
        <f t="shared" si="51"/>
        <v>3.263506749E7</v>
      </c>
      <c r="T106" s="24">
        <f t="shared" si="52"/>
        <v>0.016948818912855584</v>
      </c>
      <c r="U106" s="24">
        <f t="shared" si="53"/>
        <v>0.0057625984303708985</v>
      </c>
      <c r="V106" s="24">
        <f t="shared" si="54"/>
        <v>0.01780865137013761</v>
      </c>
      <c r="W106" s="25">
        <f t="shared" si="55"/>
        <v>8.013893116561924E-4</v>
      </c>
      <c r="X106" s="24">
        <f t="shared" si="56"/>
        <v>3.3897637825711167E-4</v>
      </c>
      <c r="Y106" s="37">
        <v>54.5170751115967</v>
      </c>
      <c r="Z106" s="74">
        <f t="shared" si="46"/>
        <v>113090.40279620489</v>
      </c>
      <c r="AA106" s="22">
        <f t="shared" si="47"/>
        <v>0.0489739917757919</v>
      </c>
      <c r="AB106" s="22">
        <f t="shared" si="57"/>
        <v>0.0012243497943947976</v>
      </c>
      <c r="AC106" s="22">
        <f t="shared" si="58"/>
        <v>0.0025471698113207547</v>
      </c>
      <c r="AD106" s="80">
        <f t="shared" si="59"/>
        <v>0.028477936022545766</v>
      </c>
      <c r="AE106" s="72"/>
    </row>
    <row r="107" spans="1:31" s="6" customFormat="1" ht="16.15" customHeight="1">
      <c r="A107" s="18" t="s">
        <v>338</v>
      </c>
      <c r="B107" s="32">
        <v>103</v>
      </c>
      <c r="C107" s="33" t="s">
        <v>338</v>
      </c>
      <c r="D107" s="23">
        <v>3451</v>
      </c>
      <c r="E107" s="30">
        <f t="shared" si="49"/>
        <v>0.0014869244576883602</v>
      </c>
      <c r="F107" s="30">
        <f t="shared" si="50"/>
        <v>9.516316529205506E-4</v>
      </c>
      <c r="G107" s="27">
        <v>31221.24</v>
      </c>
      <c r="H107" s="27">
        <v>8145</v>
      </c>
      <c r="I107" s="26">
        <f t="shared" si="32"/>
        <v>39366.240000000005</v>
      </c>
      <c r="J107" s="29">
        <f t="shared" si="48"/>
        <v>3.144814567552272E-5</v>
      </c>
      <c r="K107" s="29">
        <f t="shared" si="33"/>
        <v>1.0377888072922498E-5</v>
      </c>
      <c r="L107" s="27">
        <v>726</v>
      </c>
      <c r="M107" s="27">
        <v>0</v>
      </c>
      <c r="N107" s="26">
        <f t="shared" si="34"/>
        <v>726</v>
      </c>
      <c r="O107" s="21">
        <f t="shared" si="44"/>
        <v>4.4594106111358883E-7</v>
      </c>
      <c r="P107" s="28">
        <f t="shared" si="45"/>
        <v>1.471605501674843E-7</v>
      </c>
      <c r="Q107" s="27">
        <v>288</v>
      </c>
      <c r="R107" s="27">
        <v>0</v>
      </c>
      <c r="S107" s="26">
        <f t="shared" si="51"/>
        <v>288</v>
      </c>
      <c r="T107" s="24">
        <f t="shared" si="52"/>
        <v>1.4957100512809169E-7</v>
      </c>
      <c r="U107" s="24">
        <f t="shared" si="53"/>
        <v>5.085414174355118E-8</v>
      </c>
      <c r="V107" s="24">
        <f t="shared" si="54"/>
        <v>1.0575902764833533E-5</v>
      </c>
      <c r="W107" s="25">
        <f t="shared" si="55"/>
        <v>4.75915624417509E-7</v>
      </c>
      <c r="X107" s="24">
        <f t="shared" si="56"/>
        <v>2.991420102561834E-9</v>
      </c>
      <c r="Y107" s="37">
        <v>51.4620460751333</v>
      </c>
      <c r="Z107" s="74">
        <f t="shared" si="46"/>
        <v>6101.803141630496</v>
      </c>
      <c r="AA107" s="22">
        <f t="shared" si="47"/>
        <v>0.0026423962554472506</v>
      </c>
      <c r="AB107" s="22">
        <f t="shared" si="57"/>
        <v>6.605990638618126E-5</v>
      </c>
      <c r="AC107" s="22">
        <f t="shared" si="58"/>
        <v>0.0025471698113207547</v>
      </c>
      <c r="AD107" s="80">
        <f t="shared" si="59"/>
        <v>0.0035653402776720067</v>
      </c>
      <c r="AE107" s="72"/>
    </row>
    <row r="108" spans="1:31" s="6" customFormat="1" ht="16.15" customHeight="1">
      <c r="A108" s="18" t="s">
        <v>383</v>
      </c>
      <c r="B108" s="32">
        <v>104</v>
      </c>
      <c r="C108" s="31" t="s">
        <v>339</v>
      </c>
      <c r="D108" s="23">
        <v>16350</v>
      </c>
      <c r="E108" s="30">
        <f t="shared" si="49"/>
        <v>0.007044687013388783</v>
      </c>
      <c r="F108" s="30">
        <f t="shared" si="50"/>
        <v>0.004508599688568821</v>
      </c>
      <c r="G108" s="27">
        <v>72210</v>
      </c>
      <c r="H108" s="27">
        <v>13745</v>
      </c>
      <c r="I108" s="26">
        <f t="shared" si="32"/>
        <v>85955</v>
      </c>
      <c r="J108" s="29">
        <f t="shared" si="48"/>
        <v>6.866607940051056E-5</v>
      </c>
      <c r="K108" s="29">
        <f t="shared" si="33"/>
        <v>2.2659806202168488E-5</v>
      </c>
      <c r="L108" s="27">
        <v>82069</v>
      </c>
      <c r="M108" s="27">
        <v>57659</v>
      </c>
      <c r="N108" s="26">
        <f t="shared" si="34"/>
        <v>139728</v>
      </c>
      <c r="O108" s="21">
        <f t="shared" si="44"/>
        <v>8.58270696794484E-5</v>
      </c>
      <c r="P108" s="28">
        <f t="shared" si="45"/>
        <v>2.8322932994217973E-5</v>
      </c>
      <c r="Q108" s="27">
        <v>31596</v>
      </c>
      <c r="R108" s="27">
        <v>0</v>
      </c>
      <c r="S108" s="26">
        <f t="shared" si="51"/>
        <v>31596</v>
      </c>
      <c r="T108" s="24">
        <f t="shared" si="52"/>
        <v>1.640918568759439E-5</v>
      </c>
      <c r="U108" s="24">
        <f t="shared" si="53"/>
        <v>5.579123133782094E-6</v>
      </c>
      <c r="V108" s="24">
        <f t="shared" si="54"/>
        <v>5.656186233016856E-5</v>
      </c>
      <c r="W108" s="25">
        <f t="shared" si="55"/>
        <v>2.545283804857585E-6</v>
      </c>
      <c r="X108" s="24">
        <f t="shared" si="56"/>
        <v>3.2818371375188784E-7</v>
      </c>
      <c r="Y108" s="37">
        <v>49.3282473222593</v>
      </c>
      <c r="Z108" s="74">
        <f t="shared" si="46"/>
        <v>33988.49755452237</v>
      </c>
      <c r="AA108" s="22">
        <f t="shared" si="47"/>
        <v>0.014718776824115804</v>
      </c>
      <c r="AB108" s="22">
        <f t="shared" si="57"/>
        <v>3.679694206028951E-4</v>
      </c>
      <c r="AC108" s="22">
        <f t="shared" si="58"/>
        <v>0.0025471698113207547</v>
      </c>
      <c r="AD108" s="80">
        <f t="shared" si="59"/>
        <v>0.007426612388011081</v>
      </c>
      <c r="AE108" s="72"/>
    </row>
    <row r="109" spans="1:31" s="6" customFormat="1" ht="16.15" customHeight="1">
      <c r="A109" s="18" t="s">
        <v>340</v>
      </c>
      <c r="B109" s="32">
        <v>105</v>
      </c>
      <c r="C109" s="33" t="s">
        <v>340</v>
      </c>
      <c r="D109" s="23">
        <v>3293</v>
      </c>
      <c r="E109" s="30">
        <f t="shared" si="49"/>
        <v>0.0014188473599442974</v>
      </c>
      <c r="F109" s="30">
        <f t="shared" si="50"/>
        <v>9.080623103643504E-4</v>
      </c>
      <c r="G109" s="27">
        <v>177628</v>
      </c>
      <c r="H109" s="27">
        <v>0</v>
      </c>
      <c r="I109" s="26">
        <f t="shared" si="32"/>
        <v>177628</v>
      </c>
      <c r="J109" s="29">
        <f t="shared" si="48"/>
        <v>1.419000448112837E-4</v>
      </c>
      <c r="K109" s="29">
        <f t="shared" si="33"/>
        <v>4.682701478772363E-5</v>
      </c>
      <c r="L109" s="27">
        <v>376207</v>
      </c>
      <c r="M109" s="27">
        <v>0</v>
      </c>
      <c r="N109" s="26">
        <f t="shared" si="34"/>
        <v>376207</v>
      </c>
      <c r="O109" s="21">
        <f t="shared" si="44"/>
        <v>2.3108284955696958E-4</v>
      </c>
      <c r="P109" s="28">
        <f t="shared" si="45"/>
        <v>7.625734035379997E-5</v>
      </c>
      <c r="Q109" s="27">
        <v>379350</v>
      </c>
      <c r="R109" s="27">
        <v>0</v>
      </c>
      <c r="S109" s="26">
        <f t="shared" si="51"/>
        <v>379350</v>
      </c>
      <c r="T109" s="24">
        <f t="shared" si="52"/>
        <v>1.9701305831715826E-4</v>
      </c>
      <c r="U109" s="24">
        <f t="shared" si="53"/>
        <v>6.698443982783382E-5</v>
      </c>
      <c r="V109" s="24">
        <f t="shared" si="54"/>
        <v>1.900687949693574E-4</v>
      </c>
      <c r="W109" s="25">
        <f t="shared" si="55"/>
        <v>8.553095773621082E-6</v>
      </c>
      <c r="X109" s="24">
        <f t="shared" si="56"/>
        <v>3.940261166343165E-6</v>
      </c>
      <c r="Y109" s="37">
        <v>55.8128582131954</v>
      </c>
      <c r="Z109" s="74">
        <f t="shared" si="46"/>
        <v>3736.3953508147615</v>
      </c>
      <c r="AA109" s="22">
        <f t="shared" si="47"/>
        <v>0.0016180523780754445</v>
      </c>
      <c r="AB109" s="22">
        <f t="shared" si="57"/>
        <v>4.0451309451886116E-5</v>
      </c>
      <c r="AC109" s="22">
        <f t="shared" si="58"/>
        <v>0.0025471698113207547</v>
      </c>
      <c r="AD109" s="80">
        <f t="shared" si="59"/>
        <v>0.0035081767880769553</v>
      </c>
      <c r="AE109" s="72"/>
    </row>
    <row r="110" spans="1:31" s="6" customFormat="1" ht="16.15" customHeight="1">
      <c r="A110" s="18" t="s">
        <v>384</v>
      </c>
      <c r="B110" s="32">
        <v>106</v>
      </c>
      <c r="C110" s="31" t="s">
        <v>341</v>
      </c>
      <c r="D110" s="23">
        <v>2215</v>
      </c>
      <c r="E110" s="30">
        <f t="shared" si="49"/>
        <v>9.543719715386027E-4</v>
      </c>
      <c r="F110" s="30">
        <f t="shared" si="50"/>
        <v>6.107980617847058E-4</v>
      </c>
      <c r="G110" s="27">
        <v>14252.60</v>
      </c>
      <c r="H110" s="27">
        <v>0</v>
      </c>
      <c r="I110" s="26">
        <f t="shared" si="32"/>
        <v>14252.60</v>
      </c>
      <c r="J110" s="29">
        <f t="shared" si="48"/>
        <v>1.1385843328063717E-5</v>
      </c>
      <c r="K110" s="29">
        <f t="shared" si="33"/>
        <v>3.7573282982610267E-6</v>
      </c>
      <c r="L110" s="27">
        <v>417204.47</v>
      </c>
      <c r="M110" s="27">
        <v>5430</v>
      </c>
      <c r="N110" s="26">
        <f t="shared" si="34"/>
        <v>422634.47</v>
      </c>
      <c r="O110" s="21">
        <f t="shared" si="44"/>
        <v>2.596006391390898E-4</v>
      </c>
      <c r="P110" s="28">
        <f t="shared" si="45"/>
        <v>8.566821091589965E-5</v>
      </c>
      <c r="Q110" s="27">
        <v>302190.45</v>
      </c>
      <c r="R110" s="27">
        <v>0</v>
      </c>
      <c r="S110" s="26">
        <f t="shared" si="51"/>
        <v>302190.45</v>
      </c>
      <c r="T110" s="24">
        <f t="shared" si="52"/>
        <v>1.5694072689795255E-4</v>
      </c>
      <c r="U110" s="24">
        <f t="shared" si="53"/>
        <v>5.335984714530387E-5</v>
      </c>
      <c r="V110" s="24">
        <f t="shared" si="54"/>
        <v>1.4278538635946453E-4</v>
      </c>
      <c r="W110" s="25">
        <f t="shared" si="55"/>
        <v>6.425342386175904E-6</v>
      </c>
      <c r="X110" s="24">
        <f t="shared" si="56"/>
        <v>3.138814537959051E-6</v>
      </c>
      <c r="Y110" s="37">
        <v>54.3573427494902</v>
      </c>
      <c r="Z110" s="74">
        <f t="shared" si="46"/>
        <v>2982.654533918409</v>
      </c>
      <c r="AA110" s="22">
        <f t="shared" si="47"/>
        <v>0.0012916436320187068</v>
      </c>
      <c r="AB110" s="22">
        <f t="shared" si="57"/>
        <v>3.229109080046767E-5</v>
      </c>
      <c r="AC110" s="22">
        <f t="shared" si="58"/>
        <v>0.0025471698113207547</v>
      </c>
      <c r="AD110" s="80">
        <f t="shared" si="59"/>
        <v>0.003199823120830063</v>
      </c>
      <c r="AE110" s="72"/>
    </row>
    <row r="111" spans="16:31" s="6" customFormat="1" ht="16.15" customHeight="1">
      <c r="P111" s="19"/>
      <c r="Q111" s="19"/>
      <c r="R111" s="19"/>
      <c r="S111" s="19"/>
      <c r="T111" s="19"/>
      <c r="U111" s="19"/>
      <c r="Y111" s="18"/>
      <c r="Z111" s="18"/>
      <c r="AE111" s="72"/>
    </row>
    <row r="112" spans="3:30" s="6" customFormat="1" ht="16.15" customHeight="1">
      <c r="C112" s="17" t="s">
        <v>0</v>
      </c>
      <c r="D112" s="10">
        <f t="shared" si="60" ref="D112:AD112">SUM(D5:D110)</f>
        <v>2320898</v>
      </c>
      <c r="E112" s="9">
        <f t="shared" si="60"/>
        <v>1</v>
      </c>
      <c r="F112" s="8">
        <f t="shared" si="60"/>
        <v>0.6400000000000001</v>
      </c>
      <c r="G112" s="10">
        <f t="shared" si="60"/>
        <v>7.636295942199999E8</v>
      </c>
      <c r="H112" s="10">
        <f t="shared" si="60"/>
        <v>4.881529562099999E8</v>
      </c>
      <c r="I112" s="10">
        <f t="shared" si="60"/>
        <v>1.25178255043E9</v>
      </c>
      <c r="J112" s="9">
        <f t="shared" si="60"/>
        <v>1</v>
      </c>
      <c r="K112" s="15">
        <f>SUM(K5:K110)</f>
        <v>0.33</v>
      </c>
      <c r="L112" s="10">
        <f t="shared" si="60"/>
        <v>1.07410836391E9</v>
      </c>
      <c r="M112" s="10">
        <f t="shared" si="60"/>
        <v>5.5390946918E8</v>
      </c>
      <c r="N112" s="10">
        <f t="shared" si="60"/>
        <v>1.6280178330899997E9</v>
      </c>
      <c r="O112" s="9">
        <f t="shared" si="60"/>
        <v>1</v>
      </c>
      <c r="P112" s="15">
        <f t="shared" si="60"/>
        <v>0.33</v>
      </c>
      <c r="Q112" s="16">
        <f>SUM(Q5:Q110)</f>
        <v>1.3475632056700003E9</v>
      </c>
      <c r="R112" s="16">
        <f t="shared" si="60"/>
        <v>5.7794367819E8</v>
      </c>
      <c r="S112" s="16">
        <f t="shared" si="60"/>
        <v>1.9255068838600006E9</v>
      </c>
      <c r="T112" s="9">
        <f t="shared" si="60"/>
        <v>0.9999999999999999</v>
      </c>
      <c r="U112" s="15">
        <f t="shared" si="60"/>
        <v>0.34</v>
      </c>
      <c r="V112" s="14">
        <f>SUM(V5:V110)</f>
        <v>1.0000000000000004</v>
      </c>
      <c r="W112" s="13">
        <f t="shared" si="60"/>
        <v>0.04500000000000002</v>
      </c>
      <c r="X112" s="12">
        <f t="shared" si="60"/>
        <v>0.02</v>
      </c>
      <c r="Y112" s="11">
        <f>SUM(Y5:Y110)</f>
        <v>5655.0866771990095</v>
      </c>
      <c r="Z112" s="10">
        <f>SUM(Z5:Z110)</f>
        <v>2309193.077704278</v>
      </c>
      <c r="AA112" s="9">
        <f t="shared" si="60"/>
        <v>0.9999999999999999</v>
      </c>
      <c r="AB112" s="8">
        <f t="shared" si="60"/>
        <v>0.024999999999999988</v>
      </c>
      <c r="AC112" s="8">
        <f t="shared" si="60"/>
        <v>0.2699999999999995</v>
      </c>
      <c r="AD112" s="7">
        <f t="shared" si="60"/>
        <v>1.0000000000000004</v>
      </c>
    </row>
    <row r="113" spans="6:29" ht="15">
      <c r="F113" s="4"/>
      <c r="W113" s="3"/>
      <c r="X113" s="3"/>
      <c r="AB113" s="3"/>
      <c r="AC113" s="2"/>
    </row>
    <row r="114" spans="4:10" ht="15">
      <c r="D114" t="s">
        <v>221</v>
      </c>
      <c r="E114" s="47"/>
      <c r="F114" s="47"/>
      <c r="G114" s="47"/>
      <c r="H114" s="47"/>
      <c r="I114" s="47"/>
      <c r="J114" s="5"/>
    </row>
    <row r="115" spans="4:10" ht="15">
      <c r="D115" t="s">
        <v>222</v>
      </c>
      <c r="E115" s="5"/>
      <c r="F115" s="5"/>
      <c r="G115" s="5"/>
      <c r="H115" s="5"/>
      <c r="I115" s="5"/>
      <c r="J115" s="5"/>
    </row>
    <row r="116" spans="4:9" ht="15">
      <c r="D116" t="s">
        <v>235</v>
      </c>
      <c r="E116" s="5"/>
      <c r="F116" s="5"/>
      <c r="G116" s="5"/>
      <c r="H116" s="5"/>
      <c r="I116" s="5"/>
    </row>
    <row r="117" spans="4:4" ht="15">
      <c r="D117" t="s">
        <v>236</v>
      </c>
    </row>
    <row r="118" spans="4:4" ht="15">
      <c r="D118" t="s">
        <v>223</v>
      </c>
    </row>
    <row r="119" spans="6:29" ht="15">
      <c r="F119" s="4"/>
      <c r="W119" s="3"/>
      <c r="X119" s="3"/>
      <c r="AB119" s="3"/>
      <c r="AC119" s="2"/>
    </row>
  </sheetData>
  <mergeCells count="8">
    <mergeCell ref="D1:AD1"/>
    <mergeCell ref="D3:F3"/>
    <mergeCell ref="G3:K3"/>
    <mergeCell ref="L3:P3"/>
    <mergeCell ref="Q3:U3"/>
    <mergeCell ref="V3:W3"/>
    <mergeCell ref="Y3:AB3"/>
    <mergeCell ref="AD3:AD4"/>
  </mergeCells>
  <pageMargins left="0.1968503937007874" right="0.2362204724409449" top="0.2755905511811024" bottom="0.2755905511811024" header="0.1968503937007874" footer="0.1968503937007874"/>
  <pageSetup orientation="landscape" paperSize="5" scale="45" r:id="rId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92"/>
  <sheetViews>
    <sheetView workbookViewId="0" topLeftCell="A1">
      <pane xSplit="6" ySplit="4" topLeftCell="G5" activePane="bottomRight" state="frozen"/>
      <selection pane="topLeft" activeCell="T115" sqref="T115"/>
      <selection pane="bottomLeft" activeCell="T115" sqref="T115"/>
      <selection pane="topRight" activeCell="T115" sqref="T115"/>
      <selection pane="bottomRight" activeCell="F1" sqref="F1:AF1"/>
    </sheetView>
  </sheetViews>
  <sheetFormatPr defaultColWidth="11.424285714285714" defaultRowHeight="15"/>
  <cols>
    <col min="1" max="1" width="2.4285714285714284" hidden="1" customWidth="1"/>
    <col min="2" max="3" width="10.571428571428571" hidden="1" customWidth="1"/>
    <col min="4" max="4" width="3.4285714285714284" bestFit="1" customWidth="1"/>
    <col min="5" max="5" width="18" customWidth="1"/>
    <col min="8" max="8" width="13.142857142857142" customWidth="1"/>
    <col min="12" max="12" width="12" customWidth="1"/>
    <col min="19" max="19" width="13.428571428571429" customWidth="1"/>
    <col min="20" max="20" width="13.142857142857142" customWidth="1"/>
    <col min="21" max="21" width="14" customWidth="1"/>
    <col min="28" max="28" width="14.571428571428571" bestFit="1" customWidth="1"/>
    <col min="29" max="29" width="12.142857142857142" bestFit="1" customWidth="1"/>
    <col min="30" max="31" width="12" bestFit="1" customWidth="1"/>
    <col min="32" max="32" width="13.571428571428571" customWidth="1"/>
    <col min="33" max="33" width="16.428571428571427" customWidth="1"/>
    <col min="34" max="36" width="13.571428571428571" customWidth="1"/>
    <col min="37" max="37" width="11.428571428571429" customWidth="1"/>
    <col min="256" max="256" width="3.4285714285714284" bestFit="1" customWidth="1"/>
    <col min="257" max="257" width="18" customWidth="1"/>
    <col min="260" max="260" width="13.142857142857142" customWidth="1"/>
    <col min="264" max="264" width="12" customWidth="1"/>
    <col min="271" max="271" width="13.428571428571429" customWidth="1"/>
    <col min="272" max="272" width="13.142857142857142" customWidth="1"/>
    <col min="273" max="273" width="14" customWidth="1"/>
    <col min="281" max="281" width="13.714285714285714" customWidth="1"/>
    <col min="285" max="285" width="13.571428571428571" customWidth="1"/>
    <col min="512" max="512" width="3.4285714285714284" bestFit="1" customWidth="1"/>
    <col min="513" max="513" width="18" customWidth="1"/>
    <col min="516" max="516" width="13.142857142857142" customWidth="1"/>
    <col min="520" max="520" width="12" customWidth="1"/>
    <col min="527" max="527" width="13.428571428571429" customWidth="1"/>
    <col min="528" max="528" width="13.142857142857142" customWidth="1"/>
    <col min="529" max="529" width="14" customWidth="1"/>
    <col min="537" max="537" width="13.714285714285714" customWidth="1"/>
    <col min="541" max="541" width="13.571428571428571" customWidth="1"/>
    <col min="768" max="768" width="3.4285714285714284" bestFit="1" customWidth="1"/>
    <col min="769" max="769" width="18" customWidth="1"/>
    <col min="772" max="772" width="13.142857142857142" customWidth="1"/>
    <col min="776" max="776" width="12" customWidth="1"/>
    <col min="783" max="783" width="13.428571428571429" customWidth="1"/>
    <col min="784" max="784" width="13.142857142857142" customWidth="1"/>
    <col min="785" max="785" width="14" customWidth="1"/>
    <col min="793" max="793" width="13.714285714285714" customWidth="1"/>
    <col min="797" max="797" width="13.571428571428571" customWidth="1"/>
    <col min="1024" max="1024" width="3.4285714285714284" bestFit="1" customWidth="1"/>
    <col min="1025" max="1025" width="18" customWidth="1"/>
    <col min="1028" max="1028" width="13.142857142857142" customWidth="1"/>
    <col min="1032" max="1032" width="12" customWidth="1"/>
    <col min="1039" max="1039" width="13.428571428571429" customWidth="1"/>
    <col min="1040" max="1040" width="13.142857142857142" customWidth="1"/>
    <col min="1041" max="1041" width="14" customWidth="1"/>
    <col min="1049" max="1049" width="13.714285714285714" customWidth="1"/>
    <col min="1053" max="1053" width="13.571428571428571" customWidth="1"/>
    <col min="1280" max="1280" width="3.4285714285714284" bestFit="1" customWidth="1"/>
    <col min="1281" max="1281" width="18" customWidth="1"/>
    <col min="1284" max="1284" width="13.142857142857142" customWidth="1"/>
    <col min="1288" max="1288" width="12" customWidth="1"/>
    <col min="1295" max="1295" width="13.428571428571429" customWidth="1"/>
    <col min="1296" max="1296" width="13.142857142857142" customWidth="1"/>
    <col min="1297" max="1297" width="14" customWidth="1"/>
    <col min="1305" max="1305" width="13.714285714285714" customWidth="1"/>
    <col min="1309" max="1309" width="13.571428571428571" customWidth="1"/>
    <col min="1536" max="1536" width="3.4285714285714284" bestFit="1" customWidth="1"/>
    <col min="1537" max="1537" width="18" customWidth="1"/>
    <col min="1540" max="1540" width="13.142857142857142" customWidth="1"/>
    <col min="1544" max="1544" width="12" customWidth="1"/>
    <col min="1551" max="1551" width="13.428571428571429" customWidth="1"/>
    <col min="1552" max="1552" width="13.142857142857142" customWidth="1"/>
    <col min="1553" max="1553" width="14" customWidth="1"/>
    <col min="1561" max="1561" width="13.714285714285714" customWidth="1"/>
    <col min="1565" max="1565" width="13.571428571428571" customWidth="1"/>
    <col min="1792" max="1792" width="3.4285714285714284" bestFit="1" customWidth="1"/>
    <col min="1793" max="1793" width="18" customWidth="1"/>
    <col min="1796" max="1796" width="13.142857142857142" customWidth="1"/>
    <col min="1800" max="1800" width="12" customWidth="1"/>
    <col min="1807" max="1807" width="13.428571428571429" customWidth="1"/>
    <col min="1808" max="1808" width="13.142857142857142" customWidth="1"/>
    <col min="1809" max="1809" width="14" customWidth="1"/>
    <col min="1817" max="1817" width="13.714285714285714" customWidth="1"/>
    <col min="1821" max="1821" width="13.571428571428571" customWidth="1"/>
    <col min="2048" max="2048" width="3.4285714285714284" bestFit="1" customWidth="1"/>
    <col min="2049" max="2049" width="18" customWidth="1"/>
    <col min="2052" max="2052" width="13.142857142857142" customWidth="1"/>
    <col min="2056" max="2056" width="12" customWidth="1"/>
    <col min="2063" max="2063" width="13.428571428571429" customWidth="1"/>
    <col min="2064" max="2064" width="13.142857142857142" customWidth="1"/>
    <col min="2065" max="2065" width="14" customWidth="1"/>
    <col min="2073" max="2073" width="13.714285714285714" customWidth="1"/>
    <col min="2077" max="2077" width="13.571428571428571" customWidth="1"/>
    <col min="2304" max="2304" width="3.4285714285714284" bestFit="1" customWidth="1"/>
    <col min="2305" max="2305" width="18" customWidth="1"/>
    <col min="2308" max="2308" width="13.142857142857142" customWidth="1"/>
    <col min="2312" max="2312" width="12" customWidth="1"/>
    <col min="2319" max="2319" width="13.428571428571429" customWidth="1"/>
    <col min="2320" max="2320" width="13.142857142857142" customWidth="1"/>
    <col min="2321" max="2321" width="14" customWidth="1"/>
    <col min="2329" max="2329" width="13.714285714285714" customWidth="1"/>
    <col min="2333" max="2333" width="13.571428571428571" customWidth="1"/>
    <col min="2560" max="2560" width="3.4285714285714284" bestFit="1" customWidth="1"/>
    <col min="2561" max="2561" width="18" customWidth="1"/>
    <col min="2564" max="2564" width="13.142857142857142" customWidth="1"/>
    <col min="2568" max="2568" width="12" customWidth="1"/>
    <col min="2575" max="2575" width="13.428571428571429" customWidth="1"/>
    <col min="2576" max="2576" width="13.142857142857142" customWidth="1"/>
    <col min="2577" max="2577" width="14" customWidth="1"/>
    <col min="2585" max="2585" width="13.714285714285714" customWidth="1"/>
    <col min="2589" max="2589" width="13.571428571428571" customWidth="1"/>
    <col min="2816" max="2816" width="3.4285714285714284" bestFit="1" customWidth="1"/>
    <col min="2817" max="2817" width="18" customWidth="1"/>
    <col min="2820" max="2820" width="13.142857142857142" customWidth="1"/>
    <col min="2824" max="2824" width="12" customWidth="1"/>
    <col min="2831" max="2831" width="13.428571428571429" customWidth="1"/>
    <col min="2832" max="2832" width="13.142857142857142" customWidth="1"/>
    <col min="2833" max="2833" width="14" customWidth="1"/>
    <col min="2841" max="2841" width="13.714285714285714" customWidth="1"/>
    <col min="2845" max="2845" width="13.571428571428571" customWidth="1"/>
    <col min="3072" max="3072" width="3.4285714285714284" bestFit="1" customWidth="1"/>
    <col min="3073" max="3073" width="18" customWidth="1"/>
    <col min="3076" max="3076" width="13.142857142857142" customWidth="1"/>
    <col min="3080" max="3080" width="12" customWidth="1"/>
    <col min="3087" max="3087" width="13.428571428571429" customWidth="1"/>
    <col min="3088" max="3088" width="13.142857142857142" customWidth="1"/>
    <col min="3089" max="3089" width="14" customWidth="1"/>
    <col min="3097" max="3097" width="13.714285714285714" customWidth="1"/>
    <col min="3101" max="3101" width="13.571428571428571" customWidth="1"/>
    <col min="3328" max="3328" width="3.4285714285714284" bestFit="1" customWidth="1"/>
    <col min="3329" max="3329" width="18" customWidth="1"/>
    <col min="3332" max="3332" width="13.142857142857142" customWidth="1"/>
    <col min="3336" max="3336" width="12" customWidth="1"/>
    <col min="3343" max="3343" width="13.428571428571429" customWidth="1"/>
    <col min="3344" max="3344" width="13.142857142857142" customWidth="1"/>
    <col min="3345" max="3345" width="14" customWidth="1"/>
    <col min="3353" max="3353" width="13.714285714285714" customWidth="1"/>
    <col min="3357" max="3357" width="13.571428571428571" customWidth="1"/>
    <col min="3584" max="3584" width="3.4285714285714284" bestFit="1" customWidth="1"/>
    <col min="3585" max="3585" width="18" customWidth="1"/>
    <col min="3588" max="3588" width="13.142857142857142" customWidth="1"/>
    <col min="3592" max="3592" width="12" customWidth="1"/>
    <col min="3599" max="3599" width="13.428571428571429" customWidth="1"/>
    <col min="3600" max="3600" width="13.142857142857142" customWidth="1"/>
    <col min="3601" max="3601" width="14" customWidth="1"/>
    <col min="3609" max="3609" width="13.714285714285714" customWidth="1"/>
    <col min="3613" max="3613" width="13.571428571428571" customWidth="1"/>
    <col min="3840" max="3840" width="3.4285714285714284" bestFit="1" customWidth="1"/>
    <col min="3841" max="3841" width="18" customWidth="1"/>
    <col min="3844" max="3844" width="13.142857142857142" customWidth="1"/>
    <col min="3848" max="3848" width="12" customWidth="1"/>
    <col min="3855" max="3855" width="13.428571428571429" customWidth="1"/>
    <col min="3856" max="3856" width="13.142857142857142" customWidth="1"/>
    <col min="3857" max="3857" width="14" customWidth="1"/>
    <col min="3865" max="3865" width="13.714285714285714" customWidth="1"/>
    <col min="3869" max="3869" width="13.571428571428571" customWidth="1"/>
    <col min="4096" max="4096" width="3.4285714285714284" bestFit="1" customWidth="1"/>
    <col min="4097" max="4097" width="18" customWidth="1"/>
    <col min="4100" max="4100" width="13.142857142857142" customWidth="1"/>
    <col min="4104" max="4104" width="12" customWidth="1"/>
    <col min="4111" max="4111" width="13.428571428571429" customWidth="1"/>
    <col min="4112" max="4112" width="13.142857142857142" customWidth="1"/>
    <col min="4113" max="4113" width="14" customWidth="1"/>
    <col min="4121" max="4121" width="13.714285714285714" customWidth="1"/>
    <col min="4125" max="4125" width="13.571428571428571" customWidth="1"/>
    <col min="4352" max="4352" width="3.4285714285714284" bestFit="1" customWidth="1"/>
    <col min="4353" max="4353" width="18" customWidth="1"/>
    <col min="4356" max="4356" width="13.142857142857142" customWidth="1"/>
    <col min="4360" max="4360" width="12" customWidth="1"/>
    <col min="4367" max="4367" width="13.428571428571429" customWidth="1"/>
    <col min="4368" max="4368" width="13.142857142857142" customWidth="1"/>
    <col min="4369" max="4369" width="14" customWidth="1"/>
    <col min="4377" max="4377" width="13.714285714285714" customWidth="1"/>
    <col min="4381" max="4381" width="13.571428571428571" customWidth="1"/>
    <col min="4608" max="4608" width="3.4285714285714284" bestFit="1" customWidth="1"/>
    <col min="4609" max="4609" width="18" customWidth="1"/>
    <col min="4612" max="4612" width="13.142857142857142" customWidth="1"/>
    <col min="4616" max="4616" width="12" customWidth="1"/>
    <col min="4623" max="4623" width="13.428571428571429" customWidth="1"/>
    <col min="4624" max="4624" width="13.142857142857142" customWidth="1"/>
    <col min="4625" max="4625" width="14" customWidth="1"/>
    <col min="4633" max="4633" width="13.714285714285714" customWidth="1"/>
    <col min="4637" max="4637" width="13.571428571428571" customWidth="1"/>
    <col min="4864" max="4864" width="3.4285714285714284" bestFit="1" customWidth="1"/>
    <col min="4865" max="4865" width="18" customWidth="1"/>
    <col min="4868" max="4868" width="13.142857142857142" customWidth="1"/>
    <col min="4872" max="4872" width="12" customWidth="1"/>
    <col min="4879" max="4879" width="13.428571428571429" customWidth="1"/>
    <col min="4880" max="4880" width="13.142857142857142" customWidth="1"/>
    <col min="4881" max="4881" width="14" customWidth="1"/>
    <col min="4889" max="4889" width="13.714285714285714" customWidth="1"/>
    <col min="4893" max="4893" width="13.571428571428571" customWidth="1"/>
    <col min="5120" max="5120" width="3.4285714285714284" bestFit="1" customWidth="1"/>
    <col min="5121" max="5121" width="18" customWidth="1"/>
    <col min="5124" max="5124" width="13.142857142857142" customWidth="1"/>
    <col min="5128" max="5128" width="12" customWidth="1"/>
    <col min="5135" max="5135" width="13.428571428571429" customWidth="1"/>
    <col min="5136" max="5136" width="13.142857142857142" customWidth="1"/>
    <col min="5137" max="5137" width="14" customWidth="1"/>
    <col min="5145" max="5145" width="13.714285714285714" customWidth="1"/>
    <col min="5149" max="5149" width="13.571428571428571" customWidth="1"/>
    <col min="5376" max="5376" width="3.4285714285714284" bestFit="1" customWidth="1"/>
    <col min="5377" max="5377" width="18" customWidth="1"/>
    <col min="5380" max="5380" width="13.142857142857142" customWidth="1"/>
    <col min="5384" max="5384" width="12" customWidth="1"/>
    <col min="5391" max="5391" width="13.428571428571429" customWidth="1"/>
    <col min="5392" max="5392" width="13.142857142857142" customWidth="1"/>
    <col min="5393" max="5393" width="14" customWidth="1"/>
    <col min="5401" max="5401" width="13.714285714285714" customWidth="1"/>
    <col min="5405" max="5405" width="13.571428571428571" customWidth="1"/>
    <col min="5632" max="5632" width="3.4285714285714284" bestFit="1" customWidth="1"/>
    <col min="5633" max="5633" width="18" customWidth="1"/>
    <col min="5636" max="5636" width="13.142857142857142" customWidth="1"/>
    <col min="5640" max="5640" width="12" customWidth="1"/>
    <col min="5647" max="5647" width="13.428571428571429" customWidth="1"/>
    <col min="5648" max="5648" width="13.142857142857142" customWidth="1"/>
    <col min="5649" max="5649" width="14" customWidth="1"/>
    <col min="5657" max="5657" width="13.714285714285714" customWidth="1"/>
    <col min="5661" max="5661" width="13.571428571428571" customWidth="1"/>
    <col min="5888" max="5888" width="3.4285714285714284" bestFit="1" customWidth="1"/>
    <col min="5889" max="5889" width="18" customWidth="1"/>
    <col min="5892" max="5892" width="13.142857142857142" customWidth="1"/>
    <col min="5896" max="5896" width="12" customWidth="1"/>
    <col min="5903" max="5903" width="13.428571428571429" customWidth="1"/>
    <col min="5904" max="5904" width="13.142857142857142" customWidth="1"/>
    <col min="5905" max="5905" width="14" customWidth="1"/>
    <col min="5913" max="5913" width="13.714285714285714" customWidth="1"/>
    <col min="5917" max="5917" width="13.571428571428571" customWidth="1"/>
    <col min="6144" max="6144" width="3.4285714285714284" bestFit="1" customWidth="1"/>
    <col min="6145" max="6145" width="18" customWidth="1"/>
    <col min="6148" max="6148" width="13.142857142857142" customWidth="1"/>
    <col min="6152" max="6152" width="12" customWidth="1"/>
    <col min="6159" max="6159" width="13.428571428571429" customWidth="1"/>
    <col min="6160" max="6160" width="13.142857142857142" customWidth="1"/>
    <col min="6161" max="6161" width="14" customWidth="1"/>
    <col min="6169" max="6169" width="13.714285714285714" customWidth="1"/>
    <col min="6173" max="6173" width="13.571428571428571" customWidth="1"/>
    <col min="6400" max="6400" width="3.4285714285714284" bestFit="1" customWidth="1"/>
    <col min="6401" max="6401" width="18" customWidth="1"/>
    <col min="6404" max="6404" width="13.142857142857142" customWidth="1"/>
    <col min="6408" max="6408" width="12" customWidth="1"/>
    <col min="6415" max="6415" width="13.428571428571429" customWidth="1"/>
    <col min="6416" max="6416" width="13.142857142857142" customWidth="1"/>
    <col min="6417" max="6417" width="14" customWidth="1"/>
    <col min="6425" max="6425" width="13.714285714285714" customWidth="1"/>
    <col min="6429" max="6429" width="13.571428571428571" customWidth="1"/>
    <col min="6656" max="6656" width="3.4285714285714284" bestFit="1" customWidth="1"/>
    <col min="6657" max="6657" width="18" customWidth="1"/>
    <col min="6660" max="6660" width="13.142857142857142" customWidth="1"/>
    <col min="6664" max="6664" width="12" customWidth="1"/>
    <col min="6671" max="6671" width="13.428571428571429" customWidth="1"/>
    <col min="6672" max="6672" width="13.142857142857142" customWidth="1"/>
    <col min="6673" max="6673" width="14" customWidth="1"/>
    <col min="6681" max="6681" width="13.714285714285714" customWidth="1"/>
    <col min="6685" max="6685" width="13.571428571428571" customWidth="1"/>
    <col min="6912" max="6912" width="3.4285714285714284" bestFit="1" customWidth="1"/>
    <col min="6913" max="6913" width="18" customWidth="1"/>
    <col min="6916" max="6916" width="13.142857142857142" customWidth="1"/>
    <col min="6920" max="6920" width="12" customWidth="1"/>
    <col min="6927" max="6927" width="13.428571428571429" customWidth="1"/>
    <col min="6928" max="6928" width="13.142857142857142" customWidth="1"/>
    <col min="6929" max="6929" width="14" customWidth="1"/>
    <col min="6937" max="6937" width="13.714285714285714" customWidth="1"/>
    <col min="6941" max="6941" width="13.571428571428571" customWidth="1"/>
    <col min="7168" max="7168" width="3.4285714285714284" bestFit="1" customWidth="1"/>
    <col min="7169" max="7169" width="18" customWidth="1"/>
    <col min="7172" max="7172" width="13.142857142857142" customWidth="1"/>
    <col min="7176" max="7176" width="12" customWidth="1"/>
    <col min="7183" max="7183" width="13.428571428571429" customWidth="1"/>
    <col min="7184" max="7184" width="13.142857142857142" customWidth="1"/>
    <col min="7185" max="7185" width="14" customWidth="1"/>
    <col min="7193" max="7193" width="13.714285714285714" customWidth="1"/>
    <col min="7197" max="7197" width="13.571428571428571" customWidth="1"/>
    <col min="7424" max="7424" width="3.4285714285714284" bestFit="1" customWidth="1"/>
    <col min="7425" max="7425" width="18" customWidth="1"/>
    <col min="7428" max="7428" width="13.142857142857142" customWidth="1"/>
    <col min="7432" max="7432" width="12" customWidth="1"/>
    <col min="7439" max="7439" width="13.428571428571429" customWidth="1"/>
    <col min="7440" max="7440" width="13.142857142857142" customWidth="1"/>
    <col min="7441" max="7441" width="14" customWidth="1"/>
    <col min="7449" max="7449" width="13.714285714285714" customWidth="1"/>
    <col min="7453" max="7453" width="13.571428571428571" customWidth="1"/>
    <col min="7680" max="7680" width="3.4285714285714284" bestFit="1" customWidth="1"/>
    <col min="7681" max="7681" width="18" customWidth="1"/>
    <col min="7684" max="7684" width="13.142857142857142" customWidth="1"/>
    <col min="7688" max="7688" width="12" customWidth="1"/>
    <col min="7695" max="7695" width="13.428571428571429" customWidth="1"/>
    <col min="7696" max="7696" width="13.142857142857142" customWidth="1"/>
    <col min="7697" max="7697" width="14" customWidth="1"/>
    <col min="7705" max="7705" width="13.714285714285714" customWidth="1"/>
    <col min="7709" max="7709" width="13.571428571428571" customWidth="1"/>
    <col min="7936" max="7936" width="3.4285714285714284" bestFit="1" customWidth="1"/>
    <col min="7937" max="7937" width="18" customWidth="1"/>
    <col min="7940" max="7940" width="13.142857142857142" customWidth="1"/>
    <col min="7944" max="7944" width="12" customWidth="1"/>
    <col min="7951" max="7951" width="13.428571428571429" customWidth="1"/>
    <col min="7952" max="7952" width="13.142857142857142" customWidth="1"/>
    <col min="7953" max="7953" width="14" customWidth="1"/>
    <col min="7961" max="7961" width="13.714285714285714" customWidth="1"/>
    <col min="7965" max="7965" width="13.571428571428571" customWidth="1"/>
    <col min="8192" max="8192" width="3.4285714285714284" bestFit="1" customWidth="1"/>
    <col min="8193" max="8193" width="18" customWidth="1"/>
    <col min="8196" max="8196" width="13.142857142857142" customWidth="1"/>
    <col min="8200" max="8200" width="12" customWidth="1"/>
    <col min="8207" max="8207" width="13.428571428571429" customWidth="1"/>
    <col min="8208" max="8208" width="13.142857142857142" customWidth="1"/>
    <col min="8209" max="8209" width="14" customWidth="1"/>
    <col min="8217" max="8217" width="13.714285714285714" customWidth="1"/>
    <col min="8221" max="8221" width="13.571428571428571" customWidth="1"/>
    <col min="8448" max="8448" width="3.4285714285714284" bestFit="1" customWidth="1"/>
    <col min="8449" max="8449" width="18" customWidth="1"/>
    <col min="8452" max="8452" width="13.142857142857142" customWidth="1"/>
    <col min="8456" max="8456" width="12" customWidth="1"/>
    <col min="8463" max="8463" width="13.428571428571429" customWidth="1"/>
    <col min="8464" max="8464" width="13.142857142857142" customWidth="1"/>
    <col min="8465" max="8465" width="14" customWidth="1"/>
    <col min="8473" max="8473" width="13.714285714285714" customWidth="1"/>
    <col min="8477" max="8477" width="13.571428571428571" customWidth="1"/>
    <col min="8704" max="8704" width="3.4285714285714284" bestFit="1" customWidth="1"/>
    <col min="8705" max="8705" width="18" customWidth="1"/>
    <col min="8708" max="8708" width="13.142857142857142" customWidth="1"/>
    <col min="8712" max="8712" width="12" customWidth="1"/>
    <col min="8719" max="8719" width="13.428571428571429" customWidth="1"/>
    <col min="8720" max="8720" width="13.142857142857142" customWidth="1"/>
    <col min="8721" max="8721" width="14" customWidth="1"/>
    <col min="8729" max="8729" width="13.714285714285714" customWidth="1"/>
    <col min="8733" max="8733" width="13.571428571428571" customWidth="1"/>
    <col min="8960" max="8960" width="3.4285714285714284" bestFit="1" customWidth="1"/>
    <col min="8961" max="8961" width="18" customWidth="1"/>
    <col min="8964" max="8964" width="13.142857142857142" customWidth="1"/>
    <col min="8968" max="8968" width="12" customWidth="1"/>
    <col min="8975" max="8975" width="13.428571428571429" customWidth="1"/>
    <col min="8976" max="8976" width="13.142857142857142" customWidth="1"/>
    <col min="8977" max="8977" width="14" customWidth="1"/>
    <col min="8985" max="8985" width="13.714285714285714" customWidth="1"/>
    <col min="8989" max="8989" width="13.571428571428571" customWidth="1"/>
    <col min="9216" max="9216" width="3.4285714285714284" bestFit="1" customWidth="1"/>
    <col min="9217" max="9217" width="18" customWidth="1"/>
    <col min="9220" max="9220" width="13.142857142857142" customWidth="1"/>
    <col min="9224" max="9224" width="12" customWidth="1"/>
    <col min="9231" max="9231" width="13.428571428571429" customWidth="1"/>
    <col min="9232" max="9232" width="13.142857142857142" customWidth="1"/>
    <col min="9233" max="9233" width="14" customWidth="1"/>
    <col min="9241" max="9241" width="13.714285714285714" customWidth="1"/>
    <col min="9245" max="9245" width="13.571428571428571" customWidth="1"/>
    <col min="9472" max="9472" width="3.4285714285714284" bestFit="1" customWidth="1"/>
    <col min="9473" max="9473" width="18" customWidth="1"/>
    <col min="9476" max="9476" width="13.142857142857142" customWidth="1"/>
    <col min="9480" max="9480" width="12" customWidth="1"/>
    <col min="9487" max="9487" width="13.428571428571429" customWidth="1"/>
    <col min="9488" max="9488" width="13.142857142857142" customWidth="1"/>
    <col min="9489" max="9489" width="14" customWidth="1"/>
    <col min="9497" max="9497" width="13.714285714285714" customWidth="1"/>
    <col min="9501" max="9501" width="13.571428571428571" customWidth="1"/>
    <col min="9728" max="9728" width="3.4285714285714284" bestFit="1" customWidth="1"/>
    <col min="9729" max="9729" width="18" customWidth="1"/>
    <col min="9732" max="9732" width="13.142857142857142" customWidth="1"/>
    <col min="9736" max="9736" width="12" customWidth="1"/>
    <col min="9743" max="9743" width="13.428571428571429" customWidth="1"/>
    <col min="9744" max="9744" width="13.142857142857142" customWidth="1"/>
    <col min="9745" max="9745" width="14" customWidth="1"/>
    <col min="9753" max="9753" width="13.714285714285714" customWidth="1"/>
    <col min="9757" max="9757" width="13.571428571428571" customWidth="1"/>
    <col min="9984" max="9984" width="3.4285714285714284" bestFit="1" customWidth="1"/>
    <col min="9985" max="9985" width="18" customWidth="1"/>
    <col min="9988" max="9988" width="13.142857142857142" customWidth="1"/>
    <col min="9992" max="9992" width="12" customWidth="1"/>
    <col min="9999" max="9999" width="13.428571428571429" customWidth="1"/>
    <col min="10000" max="10000" width="13.142857142857142" customWidth="1"/>
    <col min="10001" max="10001" width="14" customWidth="1"/>
    <col min="10009" max="10009" width="13.714285714285714" customWidth="1"/>
    <col min="10013" max="10013" width="13.571428571428571" customWidth="1"/>
    <col min="10240" max="10240" width="3.4285714285714284" bestFit="1" customWidth="1"/>
    <col min="10241" max="10241" width="18" customWidth="1"/>
    <col min="10244" max="10244" width="13.142857142857142" customWidth="1"/>
    <col min="10248" max="10248" width="12" customWidth="1"/>
    <col min="10255" max="10255" width="13.428571428571429" customWidth="1"/>
    <col min="10256" max="10256" width="13.142857142857142" customWidth="1"/>
    <col min="10257" max="10257" width="14" customWidth="1"/>
    <col min="10265" max="10265" width="13.714285714285714" customWidth="1"/>
    <col min="10269" max="10269" width="13.571428571428571" customWidth="1"/>
    <col min="10496" max="10496" width="3.4285714285714284" bestFit="1" customWidth="1"/>
    <col min="10497" max="10497" width="18" customWidth="1"/>
    <col min="10500" max="10500" width="13.142857142857142" customWidth="1"/>
    <col min="10504" max="10504" width="12" customWidth="1"/>
    <col min="10511" max="10511" width="13.428571428571429" customWidth="1"/>
    <col min="10512" max="10512" width="13.142857142857142" customWidth="1"/>
    <col min="10513" max="10513" width="14" customWidth="1"/>
    <col min="10521" max="10521" width="13.714285714285714" customWidth="1"/>
    <col min="10525" max="10525" width="13.571428571428571" customWidth="1"/>
    <col min="10752" max="10752" width="3.4285714285714284" bestFit="1" customWidth="1"/>
    <col min="10753" max="10753" width="18" customWidth="1"/>
    <col min="10756" max="10756" width="13.142857142857142" customWidth="1"/>
    <col min="10760" max="10760" width="12" customWidth="1"/>
    <col min="10767" max="10767" width="13.428571428571429" customWidth="1"/>
    <col min="10768" max="10768" width="13.142857142857142" customWidth="1"/>
    <col min="10769" max="10769" width="14" customWidth="1"/>
    <col min="10777" max="10777" width="13.714285714285714" customWidth="1"/>
    <col min="10781" max="10781" width="13.571428571428571" customWidth="1"/>
    <col min="11008" max="11008" width="3.4285714285714284" bestFit="1" customWidth="1"/>
    <col min="11009" max="11009" width="18" customWidth="1"/>
    <col min="11012" max="11012" width="13.142857142857142" customWidth="1"/>
    <col min="11016" max="11016" width="12" customWidth="1"/>
    <col min="11023" max="11023" width="13.428571428571429" customWidth="1"/>
    <col min="11024" max="11024" width="13.142857142857142" customWidth="1"/>
    <col min="11025" max="11025" width="14" customWidth="1"/>
    <col min="11033" max="11033" width="13.714285714285714" customWidth="1"/>
    <col min="11037" max="11037" width="13.571428571428571" customWidth="1"/>
    <col min="11264" max="11264" width="3.4285714285714284" bestFit="1" customWidth="1"/>
    <col min="11265" max="11265" width="18" customWidth="1"/>
    <col min="11268" max="11268" width="13.142857142857142" customWidth="1"/>
    <col min="11272" max="11272" width="12" customWidth="1"/>
    <col min="11279" max="11279" width="13.428571428571429" customWidth="1"/>
    <col min="11280" max="11280" width="13.142857142857142" customWidth="1"/>
    <col min="11281" max="11281" width="14" customWidth="1"/>
    <col min="11289" max="11289" width="13.714285714285714" customWidth="1"/>
    <col min="11293" max="11293" width="13.571428571428571" customWidth="1"/>
    <col min="11520" max="11520" width="3.4285714285714284" bestFit="1" customWidth="1"/>
    <col min="11521" max="11521" width="18" customWidth="1"/>
    <col min="11524" max="11524" width="13.142857142857142" customWidth="1"/>
    <col min="11528" max="11528" width="12" customWidth="1"/>
    <col min="11535" max="11535" width="13.428571428571429" customWidth="1"/>
    <col min="11536" max="11536" width="13.142857142857142" customWidth="1"/>
    <col min="11537" max="11537" width="14" customWidth="1"/>
    <col min="11545" max="11545" width="13.714285714285714" customWidth="1"/>
    <col min="11549" max="11549" width="13.571428571428571" customWidth="1"/>
    <col min="11776" max="11776" width="3.4285714285714284" bestFit="1" customWidth="1"/>
    <col min="11777" max="11777" width="18" customWidth="1"/>
    <col min="11780" max="11780" width="13.142857142857142" customWidth="1"/>
    <col min="11784" max="11784" width="12" customWidth="1"/>
    <col min="11791" max="11791" width="13.428571428571429" customWidth="1"/>
    <col min="11792" max="11792" width="13.142857142857142" customWidth="1"/>
    <col min="11793" max="11793" width="14" customWidth="1"/>
    <col min="11801" max="11801" width="13.714285714285714" customWidth="1"/>
    <col min="11805" max="11805" width="13.571428571428571" customWidth="1"/>
    <col min="12032" max="12032" width="3.4285714285714284" bestFit="1" customWidth="1"/>
    <col min="12033" max="12033" width="18" customWidth="1"/>
    <col min="12036" max="12036" width="13.142857142857142" customWidth="1"/>
    <col min="12040" max="12040" width="12" customWidth="1"/>
    <col min="12047" max="12047" width="13.428571428571429" customWidth="1"/>
    <col min="12048" max="12048" width="13.142857142857142" customWidth="1"/>
    <col min="12049" max="12049" width="14" customWidth="1"/>
    <col min="12057" max="12057" width="13.714285714285714" customWidth="1"/>
    <col min="12061" max="12061" width="13.571428571428571" customWidth="1"/>
    <col min="12288" max="12288" width="3.4285714285714284" bestFit="1" customWidth="1"/>
    <col min="12289" max="12289" width="18" customWidth="1"/>
    <col min="12292" max="12292" width="13.142857142857142" customWidth="1"/>
    <col min="12296" max="12296" width="12" customWidth="1"/>
    <col min="12303" max="12303" width="13.428571428571429" customWidth="1"/>
    <col min="12304" max="12304" width="13.142857142857142" customWidth="1"/>
    <col min="12305" max="12305" width="14" customWidth="1"/>
    <col min="12313" max="12313" width="13.714285714285714" customWidth="1"/>
    <col min="12317" max="12317" width="13.571428571428571" customWidth="1"/>
    <col min="12544" max="12544" width="3.4285714285714284" bestFit="1" customWidth="1"/>
    <col min="12545" max="12545" width="18" customWidth="1"/>
    <col min="12548" max="12548" width="13.142857142857142" customWidth="1"/>
    <col min="12552" max="12552" width="12" customWidth="1"/>
    <col min="12559" max="12559" width="13.428571428571429" customWidth="1"/>
    <col min="12560" max="12560" width="13.142857142857142" customWidth="1"/>
    <col min="12561" max="12561" width="14" customWidth="1"/>
    <col min="12569" max="12569" width="13.714285714285714" customWidth="1"/>
    <col min="12573" max="12573" width="13.571428571428571" customWidth="1"/>
    <col min="12800" max="12800" width="3.4285714285714284" bestFit="1" customWidth="1"/>
    <col min="12801" max="12801" width="18" customWidth="1"/>
    <col min="12804" max="12804" width="13.142857142857142" customWidth="1"/>
    <col min="12808" max="12808" width="12" customWidth="1"/>
    <col min="12815" max="12815" width="13.428571428571429" customWidth="1"/>
    <col min="12816" max="12816" width="13.142857142857142" customWidth="1"/>
    <col min="12817" max="12817" width="14" customWidth="1"/>
    <col min="12825" max="12825" width="13.714285714285714" customWidth="1"/>
    <col min="12829" max="12829" width="13.571428571428571" customWidth="1"/>
    <col min="13056" max="13056" width="3.4285714285714284" bestFit="1" customWidth="1"/>
    <col min="13057" max="13057" width="18" customWidth="1"/>
    <col min="13060" max="13060" width="13.142857142857142" customWidth="1"/>
    <col min="13064" max="13064" width="12" customWidth="1"/>
    <col min="13071" max="13071" width="13.428571428571429" customWidth="1"/>
    <col min="13072" max="13072" width="13.142857142857142" customWidth="1"/>
    <col min="13073" max="13073" width="14" customWidth="1"/>
    <col min="13081" max="13081" width="13.714285714285714" customWidth="1"/>
    <col min="13085" max="13085" width="13.571428571428571" customWidth="1"/>
    <col min="13312" max="13312" width="3.4285714285714284" bestFit="1" customWidth="1"/>
    <col min="13313" max="13313" width="18" customWidth="1"/>
    <col min="13316" max="13316" width="13.142857142857142" customWidth="1"/>
    <col min="13320" max="13320" width="12" customWidth="1"/>
    <col min="13327" max="13327" width="13.428571428571429" customWidth="1"/>
    <col min="13328" max="13328" width="13.142857142857142" customWidth="1"/>
    <col min="13329" max="13329" width="14" customWidth="1"/>
    <col min="13337" max="13337" width="13.714285714285714" customWidth="1"/>
    <col min="13341" max="13341" width="13.571428571428571" customWidth="1"/>
    <col min="13568" max="13568" width="3.4285714285714284" bestFit="1" customWidth="1"/>
    <col min="13569" max="13569" width="18" customWidth="1"/>
    <col min="13572" max="13572" width="13.142857142857142" customWidth="1"/>
    <col min="13576" max="13576" width="12" customWidth="1"/>
    <col min="13583" max="13583" width="13.428571428571429" customWidth="1"/>
    <col min="13584" max="13584" width="13.142857142857142" customWidth="1"/>
    <col min="13585" max="13585" width="14" customWidth="1"/>
    <col min="13593" max="13593" width="13.714285714285714" customWidth="1"/>
    <col min="13597" max="13597" width="13.571428571428571" customWidth="1"/>
    <col min="13824" max="13824" width="3.4285714285714284" bestFit="1" customWidth="1"/>
    <col min="13825" max="13825" width="18" customWidth="1"/>
    <col min="13828" max="13828" width="13.142857142857142" customWidth="1"/>
    <col min="13832" max="13832" width="12" customWidth="1"/>
    <col min="13839" max="13839" width="13.428571428571429" customWidth="1"/>
    <col min="13840" max="13840" width="13.142857142857142" customWidth="1"/>
    <col min="13841" max="13841" width="14" customWidth="1"/>
    <col min="13849" max="13849" width="13.714285714285714" customWidth="1"/>
    <col min="13853" max="13853" width="13.571428571428571" customWidth="1"/>
    <col min="14080" max="14080" width="3.4285714285714284" bestFit="1" customWidth="1"/>
    <col min="14081" max="14081" width="18" customWidth="1"/>
    <col min="14084" max="14084" width="13.142857142857142" customWidth="1"/>
    <col min="14088" max="14088" width="12" customWidth="1"/>
    <col min="14095" max="14095" width="13.428571428571429" customWidth="1"/>
    <col min="14096" max="14096" width="13.142857142857142" customWidth="1"/>
    <col min="14097" max="14097" width="14" customWidth="1"/>
    <col min="14105" max="14105" width="13.714285714285714" customWidth="1"/>
    <col min="14109" max="14109" width="13.571428571428571" customWidth="1"/>
    <col min="14336" max="14336" width="3.4285714285714284" bestFit="1" customWidth="1"/>
    <col min="14337" max="14337" width="18" customWidth="1"/>
    <col min="14340" max="14340" width="13.142857142857142" customWidth="1"/>
    <col min="14344" max="14344" width="12" customWidth="1"/>
    <col min="14351" max="14351" width="13.428571428571429" customWidth="1"/>
    <col min="14352" max="14352" width="13.142857142857142" customWidth="1"/>
    <col min="14353" max="14353" width="14" customWidth="1"/>
    <col min="14361" max="14361" width="13.714285714285714" customWidth="1"/>
    <col min="14365" max="14365" width="13.571428571428571" customWidth="1"/>
    <col min="14592" max="14592" width="3.4285714285714284" bestFit="1" customWidth="1"/>
    <col min="14593" max="14593" width="18" customWidth="1"/>
    <col min="14596" max="14596" width="13.142857142857142" customWidth="1"/>
    <col min="14600" max="14600" width="12" customWidth="1"/>
    <col min="14607" max="14607" width="13.428571428571429" customWidth="1"/>
    <col min="14608" max="14608" width="13.142857142857142" customWidth="1"/>
    <col min="14609" max="14609" width="14" customWidth="1"/>
    <col min="14617" max="14617" width="13.714285714285714" customWidth="1"/>
    <col min="14621" max="14621" width="13.571428571428571" customWidth="1"/>
    <col min="14848" max="14848" width="3.4285714285714284" bestFit="1" customWidth="1"/>
    <col min="14849" max="14849" width="18" customWidth="1"/>
    <col min="14852" max="14852" width="13.142857142857142" customWidth="1"/>
    <col min="14856" max="14856" width="12" customWidth="1"/>
    <col min="14863" max="14863" width="13.428571428571429" customWidth="1"/>
    <col min="14864" max="14864" width="13.142857142857142" customWidth="1"/>
    <col min="14865" max="14865" width="14" customWidth="1"/>
    <col min="14873" max="14873" width="13.714285714285714" customWidth="1"/>
    <col min="14877" max="14877" width="13.571428571428571" customWidth="1"/>
    <col min="15104" max="15104" width="3.4285714285714284" bestFit="1" customWidth="1"/>
    <col min="15105" max="15105" width="18" customWidth="1"/>
    <col min="15108" max="15108" width="13.142857142857142" customWidth="1"/>
    <col min="15112" max="15112" width="12" customWidth="1"/>
    <col min="15119" max="15119" width="13.428571428571429" customWidth="1"/>
    <col min="15120" max="15120" width="13.142857142857142" customWidth="1"/>
    <col min="15121" max="15121" width="14" customWidth="1"/>
    <col min="15129" max="15129" width="13.714285714285714" customWidth="1"/>
    <col min="15133" max="15133" width="13.571428571428571" customWidth="1"/>
    <col min="15360" max="15360" width="3.4285714285714284" bestFit="1" customWidth="1"/>
    <col min="15361" max="15361" width="18" customWidth="1"/>
    <col min="15364" max="15364" width="13.142857142857142" customWidth="1"/>
    <col min="15368" max="15368" width="12" customWidth="1"/>
    <col min="15375" max="15375" width="13.428571428571429" customWidth="1"/>
    <col min="15376" max="15376" width="13.142857142857142" customWidth="1"/>
    <col min="15377" max="15377" width="14" customWidth="1"/>
    <col min="15385" max="15385" width="13.714285714285714" customWidth="1"/>
    <col min="15389" max="15389" width="13.571428571428571" customWidth="1"/>
    <col min="15616" max="15616" width="3.4285714285714284" bestFit="1" customWidth="1"/>
    <col min="15617" max="15617" width="18" customWidth="1"/>
    <col min="15620" max="15620" width="13.142857142857142" customWidth="1"/>
    <col min="15624" max="15624" width="12" customWidth="1"/>
    <col min="15631" max="15631" width="13.428571428571429" customWidth="1"/>
    <col min="15632" max="15632" width="13.142857142857142" customWidth="1"/>
    <col min="15633" max="15633" width="14" customWidth="1"/>
    <col min="15641" max="15641" width="13.714285714285714" customWidth="1"/>
    <col min="15645" max="15645" width="13.571428571428571" customWidth="1"/>
    <col min="15872" max="15872" width="3.4285714285714284" bestFit="1" customWidth="1"/>
    <col min="15873" max="15873" width="18" customWidth="1"/>
    <col min="15876" max="15876" width="13.142857142857142" customWidth="1"/>
    <col min="15880" max="15880" width="12" customWidth="1"/>
    <col min="15887" max="15887" width="13.428571428571429" customWidth="1"/>
    <col min="15888" max="15888" width="13.142857142857142" customWidth="1"/>
    <col min="15889" max="15889" width="14" customWidth="1"/>
    <col min="15897" max="15897" width="13.714285714285714" customWidth="1"/>
    <col min="15901" max="15901" width="13.571428571428571" customWidth="1"/>
    <col min="16128" max="16128" width="3.4285714285714284" bestFit="1" customWidth="1"/>
    <col min="16129" max="16129" width="18" customWidth="1"/>
    <col min="16132" max="16132" width="13.142857142857142" customWidth="1"/>
    <col min="16136" max="16136" width="12" customWidth="1"/>
    <col min="16143" max="16143" width="13.428571428571429" customWidth="1"/>
    <col min="16144" max="16144" width="13.142857142857142" customWidth="1"/>
    <col min="16145" max="16145" width="14" customWidth="1"/>
    <col min="16153" max="16153" width="13.714285714285714" customWidth="1"/>
    <col min="16157" max="16157" width="13.571428571428571" customWidth="1"/>
  </cols>
  <sheetData>
    <row r="1" spans="6:36" ht="15.75">
      <c r="F1" s="98" t="s">
        <v>233</v>
      </c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79"/>
      <c r="AH1" s="65"/>
      <c r="AI1" s="65"/>
      <c r="AJ1" s="65"/>
    </row>
    <row r="3" spans="5:36" s="6" customFormat="1" ht="25.5">
      <c r="E3" s="18"/>
      <c r="F3" s="90" t="s">
        <v>19</v>
      </c>
      <c r="G3" s="91"/>
      <c r="H3" s="92"/>
      <c r="I3" s="99" t="s">
        <v>215</v>
      </c>
      <c r="J3" s="100"/>
      <c r="K3" s="100"/>
      <c r="L3" s="100"/>
      <c r="M3" s="101"/>
      <c r="N3" s="99" t="s">
        <v>217</v>
      </c>
      <c r="O3" s="100"/>
      <c r="P3" s="100"/>
      <c r="Q3" s="100"/>
      <c r="R3" s="101"/>
      <c r="S3" s="99" t="s">
        <v>226</v>
      </c>
      <c r="T3" s="100"/>
      <c r="U3" s="100"/>
      <c r="V3" s="100"/>
      <c r="W3" s="101"/>
      <c r="X3" s="90" t="s">
        <v>18</v>
      </c>
      <c r="Y3" s="92"/>
      <c r="Z3" s="44" t="s">
        <v>229</v>
      </c>
      <c r="AA3" s="90" t="s">
        <v>17</v>
      </c>
      <c r="AB3" s="91"/>
      <c r="AC3" s="91"/>
      <c r="AD3" s="92"/>
      <c r="AE3" s="46" t="s">
        <v>16</v>
      </c>
      <c r="AF3" s="96" t="s">
        <v>15</v>
      </c>
      <c r="AG3" s="66"/>
      <c r="AH3" s="66"/>
      <c r="AI3" s="66"/>
      <c r="AJ3" s="66"/>
    </row>
    <row r="4" spans="1:36" s="6" customFormat="1" ht="54" customHeight="1">
      <c r="A4" s="6" t="s">
        <v>13</v>
      </c>
      <c r="D4" s="42" t="s">
        <v>14</v>
      </c>
      <c r="E4" s="54" t="s">
        <v>13</v>
      </c>
      <c r="F4" s="43" t="s">
        <v>12</v>
      </c>
      <c r="G4" s="43" t="s">
        <v>11</v>
      </c>
      <c r="H4" s="45" t="s">
        <v>10</v>
      </c>
      <c r="I4" s="43" t="s">
        <v>9</v>
      </c>
      <c r="J4" s="43" t="s">
        <v>8</v>
      </c>
      <c r="K4" s="43" t="s">
        <v>216</v>
      </c>
      <c r="L4" s="43" t="s">
        <v>7</v>
      </c>
      <c r="M4" s="45" t="s">
        <v>218</v>
      </c>
      <c r="N4" s="43" t="s">
        <v>9</v>
      </c>
      <c r="O4" s="43" t="s">
        <v>8</v>
      </c>
      <c r="P4" s="43" t="s">
        <v>220</v>
      </c>
      <c r="Q4" s="43" t="s">
        <v>7</v>
      </c>
      <c r="R4" s="45" t="s">
        <v>225</v>
      </c>
      <c r="S4" s="43" t="s">
        <v>9</v>
      </c>
      <c r="T4" s="43" t="s">
        <v>8</v>
      </c>
      <c r="U4" s="43" t="s">
        <v>227</v>
      </c>
      <c r="V4" s="43" t="s">
        <v>7</v>
      </c>
      <c r="W4" s="45" t="s">
        <v>228</v>
      </c>
      <c r="X4" s="44" t="s">
        <v>219</v>
      </c>
      <c r="Y4" s="44" t="s">
        <v>6</v>
      </c>
      <c r="Z4" s="45" t="s">
        <v>230</v>
      </c>
      <c r="AA4" s="43" t="s">
        <v>5</v>
      </c>
      <c r="AB4" s="43" t="s">
        <v>214</v>
      </c>
      <c r="AC4" s="43" t="s">
        <v>4</v>
      </c>
      <c r="AD4" s="44" t="s">
        <v>3</v>
      </c>
      <c r="AE4" s="44" t="s">
        <v>213</v>
      </c>
      <c r="AF4" s="97"/>
      <c r="AG4" s="66"/>
      <c r="AH4" s="66"/>
      <c r="AI4" s="66"/>
      <c r="AJ4" s="66"/>
    </row>
    <row r="5" spans="1:36" s="6" customFormat="1" ht="13.5">
      <c r="A5" s="6" t="s">
        <v>99</v>
      </c>
      <c r="B5" s="6" t="s">
        <v>239</v>
      </c>
      <c r="C5" s="6" t="s">
        <v>464</v>
      </c>
      <c r="D5" s="32">
        <v>3</v>
      </c>
      <c r="E5" s="31" t="s">
        <v>239</v>
      </c>
      <c r="F5" s="23">
        <f>VLOOKUP(D5,'Participaciones  Tabla I'!B$5:D$110,3)</f>
        <v>12285</v>
      </c>
      <c r="G5" s="40">
        <f t="shared" si="0" ref="G5:G36">F5/$F$86</f>
        <v>0.010663035072141487</v>
      </c>
      <c r="H5" s="40">
        <f>G5*0.64</f>
        <v>0.006824342446170552</v>
      </c>
      <c r="I5" s="38">
        <f>VLOOKUP(E5,'Participaciones  Tabla I'!$C$5:$AD$110,5,FALSE)</f>
        <v>98578.51</v>
      </c>
      <c r="J5" s="38">
        <f>VLOOKUP(E5,'Participaciones  Tabla I'!$C$5:$AD$110,6,FALSE)</f>
        <v>234962.51</v>
      </c>
      <c r="K5" s="38">
        <f t="shared" si="1" ref="K5:K36">I5+J5</f>
        <v>333541.02</v>
      </c>
      <c r="L5" s="53">
        <f>K5/$K$86</f>
        <v>0.0020704871513048785</v>
      </c>
      <c r="M5" s="53">
        <f>L5*0.33</f>
        <v>6.8326075993061E-4</v>
      </c>
      <c r="N5" s="39">
        <f>VLOOKUP(E5,'Participaciones  Tabla I'!$C$5:$AD$110,10,FALSE)</f>
        <v>116028.14</v>
      </c>
      <c r="O5" s="39">
        <f>VLOOKUP(E5,'Participaciones  Tabla I'!$C$5:$AD$110,11,FALSE)</f>
        <v>548290.13</v>
      </c>
      <c r="P5" s="38">
        <f t="shared" si="2" ref="P5:P36">N5+O5</f>
        <v>664318.27</v>
      </c>
      <c r="Q5" s="34">
        <f>P5/$P$86</f>
        <v>0.003279523877779722</v>
      </c>
      <c r="R5" s="51">
        <f>Q5*0.33</f>
        <v>0.0010822428796673084</v>
      </c>
      <c r="S5" s="39">
        <f>VLOOKUP(E5,'Participaciones  Tabla I'!$C$5:$AD$110,15,FALSE)</f>
        <v>162459.04</v>
      </c>
      <c r="T5" s="39">
        <f>VLOOKUP(E5,'Participaciones  Tabla I'!$C$5:$AD$110,16,FALSE)</f>
        <v>349985.55</v>
      </c>
      <c r="U5" s="38">
        <f>S5+T5</f>
        <v>512444.58999999997</v>
      </c>
      <c r="V5" s="36">
        <f>U5/$U$86</f>
        <v>0.0020854040238072473</v>
      </c>
      <c r="W5" s="36">
        <f>V5*0.34</f>
        <v>7.090373680944641E-4</v>
      </c>
      <c r="X5" s="36">
        <f t="shared" si="3" ref="X5:X36">M5+R5+W5</f>
        <v>0.0024745410076923826</v>
      </c>
      <c r="Y5" s="37">
        <f>X5*0.045</f>
        <v>1.1135434534615721E-4</v>
      </c>
      <c r="Z5" s="36">
        <f>V5*0.02</f>
        <v>4.170808047614495E-5</v>
      </c>
      <c r="AA5" s="37">
        <f>VLOOKUP(D5,'Participaciones  Tabla I'!$B$5:$Y$110,24,FALSE)</f>
        <v>53.8228606441541</v>
      </c>
      <c r="AB5" s="23">
        <f>F5*(9.261-0.1456*AA5)</f>
        <v>17498.64945724413</v>
      </c>
      <c r="AC5" s="35">
        <f>AB5/$AB$86</f>
        <v>0.011430835228804195</v>
      </c>
      <c r="AD5" s="35">
        <f>AC5*0.025</f>
        <v>2.857708807201049E-4</v>
      </c>
      <c r="AE5" s="35">
        <f>0.27/80</f>
        <v>0.0033750000000000004</v>
      </c>
      <c r="AF5" s="71">
        <f>H5+Y5+Z5+AD5+AE5</f>
        <v>0.010638175752712958</v>
      </c>
      <c r="AG5" s="83"/>
      <c r="AH5" s="84"/>
      <c r="AI5" s="82"/>
      <c r="AJ5" s="67"/>
    </row>
    <row r="6" spans="1:36" s="6" customFormat="1" ht="13.5">
      <c r="A6" s="6" t="s">
        <v>98</v>
      </c>
      <c r="B6" s="6" t="s">
        <v>241</v>
      </c>
      <c r="C6" s="6" t="s">
        <v>463</v>
      </c>
      <c r="D6" s="32">
        <v>5</v>
      </c>
      <c r="E6" s="33" t="s">
        <v>241</v>
      </c>
      <c r="F6" s="23">
        <f>VLOOKUP(D6,'Participaciones  Tabla I'!B$5:D$110,3)</f>
        <v>2167</v>
      </c>
      <c r="G6" s="30">
        <f t="shared" si="0"/>
        <v>0.0018808951568034678</v>
      </c>
      <c r="H6" s="30">
        <f t="shared" si="4" ref="H6:H36">G6*0.64</f>
        <v>0.0012037729003542194</v>
      </c>
      <c r="I6" s="38">
        <f>VLOOKUP(E6,'Participaciones  Tabla I'!$C$5:$AD$110,5,FALSE)</f>
        <v>0</v>
      </c>
      <c r="J6" s="38">
        <f>VLOOKUP(E6,'Participaciones  Tabla I'!$C$5:$AD$110,6,FALSE)</f>
        <v>0</v>
      </c>
      <c r="K6" s="26">
        <f t="shared" si="1"/>
        <v>0</v>
      </c>
      <c r="L6" s="53">
        <f t="shared" si="5" ref="L6:L36">K6/$K$86</f>
        <v>0</v>
      </c>
      <c r="M6" s="29">
        <f t="shared" si="6" ref="M6:M36">L6*0.33</f>
        <v>0</v>
      </c>
      <c r="N6" s="39">
        <f>VLOOKUP(E6,'Participaciones  Tabla I'!$C$5:$AD$110,10,FALSE)</f>
        <v>26500</v>
      </c>
      <c r="O6" s="39">
        <f>VLOOKUP(E6,'Participaciones  Tabla I'!$C$5:$AD$110,11,FALSE)</f>
        <v>0</v>
      </c>
      <c r="P6" s="26">
        <f t="shared" si="2"/>
        <v>26500</v>
      </c>
      <c r="Q6" s="34">
        <f t="shared" si="7" ref="Q6:Q36">P6/$P$86</f>
        <v>1.308219067363037E-4</v>
      </c>
      <c r="R6" s="51">
        <f t="shared" si="8" ref="R6:R36">Q6*0.33</f>
        <v>4.317122922298022E-5</v>
      </c>
      <c r="S6" s="39">
        <f>VLOOKUP(E6,'Participaciones  Tabla I'!$C$5:$AD$110,15,FALSE)</f>
        <v>0</v>
      </c>
      <c r="T6" s="39">
        <f>VLOOKUP(E6,'Participaciones  Tabla I'!$C$5:$AD$110,16,FALSE)</f>
        <v>0</v>
      </c>
      <c r="U6" s="26">
        <f t="shared" si="9" ref="U6:U36">S6+T6</f>
        <v>0</v>
      </c>
      <c r="V6" s="24">
        <f t="shared" si="10" ref="V6:V36">U6/$U$86</f>
        <v>0</v>
      </c>
      <c r="W6" s="24">
        <f t="shared" si="11" ref="W6:W36">V6*0.34</f>
        <v>0</v>
      </c>
      <c r="X6" s="24">
        <f t="shared" si="3"/>
        <v>4.317122922298022E-5</v>
      </c>
      <c r="Y6" s="25">
        <f t="shared" si="12" ref="Y6:Y36">X6*0.045</f>
        <v>1.94270531503411E-6</v>
      </c>
      <c r="Z6" s="24">
        <f t="shared" si="13" ref="Z6:Z36">V6*0.02</f>
        <v>0</v>
      </c>
      <c r="AA6" s="37">
        <f>VLOOKUP(D6,'Participaciones  Tabla I'!$B$5:$Y$110,24,FALSE)</f>
        <v>54.383083000654</v>
      </c>
      <c r="AB6" s="23">
        <f t="shared" si="14" ref="AB6:AB69">F6*(9.261-0.1456*AA6)</f>
        <v>2909.8976904320507</v>
      </c>
      <c r="AC6" s="35">
        <f t="shared" si="15" ref="AC6:AC69">AB6/$AB$86</f>
        <v>0.0019008644703283966</v>
      </c>
      <c r="AD6" s="22">
        <f t="shared" si="16" ref="AD6:AD36">AC6*0.025</f>
        <v>4.752161175820992E-5</v>
      </c>
      <c r="AE6" s="22">
        <f t="shared" si="17" ref="AE6:AE36">0.27/80</f>
        <v>0.0033750000000000004</v>
      </c>
      <c r="AF6" s="70">
        <f t="shared" si="18" ref="AF6:AF36">H6+Y6+Z6+AD6+AE6</f>
        <v>0.0046282372174274635</v>
      </c>
      <c r="AG6" s="83"/>
      <c r="AH6" s="84"/>
      <c r="AI6" s="82"/>
      <c r="AJ6" s="68"/>
    </row>
    <row r="7" spans="1:36" s="6" customFormat="1" ht="13.5">
      <c r="A7" s="6" t="s">
        <v>97</v>
      </c>
      <c r="B7" s="6" t="s">
        <v>242</v>
      </c>
      <c r="C7" s="6" t="s">
        <v>462</v>
      </c>
      <c r="D7" s="32">
        <v>6</v>
      </c>
      <c r="E7" s="31" t="s">
        <v>242</v>
      </c>
      <c r="F7" s="23">
        <f>VLOOKUP(D7,'Participaciones  Tabla I'!B$5:D$110,3)</f>
        <v>9159</v>
      </c>
      <c r="G7" s="30">
        <f t="shared" si="0"/>
        <v>0.007949754841330392</v>
      </c>
      <c r="H7" s="30">
        <f t="shared" si="4"/>
        <v>0.005087843098451451</v>
      </c>
      <c r="I7" s="38">
        <f>VLOOKUP(E7,'Participaciones  Tabla I'!$C$5:$AD$110,5,FALSE)</f>
        <v>139023</v>
      </c>
      <c r="J7" s="38">
        <f>VLOOKUP(E7,'Participaciones  Tabla I'!$C$5:$AD$110,6,FALSE)</f>
        <v>118617</v>
      </c>
      <c r="K7" s="26">
        <f t="shared" si="1"/>
        <v>257640</v>
      </c>
      <c r="L7" s="53">
        <f t="shared" si="5"/>
        <v>0.0015993244538923246</v>
      </c>
      <c r="M7" s="29">
        <f t="shared" si="6"/>
        <v>5.277770697844672E-4</v>
      </c>
      <c r="N7" s="39">
        <f>VLOOKUP(E7,'Participaciones  Tabla I'!$C$5:$AD$110,10,FALSE)</f>
        <v>197058.40</v>
      </c>
      <c r="O7" s="39">
        <f>VLOOKUP(E7,'Participaciones  Tabla I'!$C$5:$AD$110,11,FALSE)</f>
        <v>115936.25</v>
      </c>
      <c r="P7" s="26">
        <f t="shared" si="2"/>
        <v>312994.65</v>
      </c>
      <c r="Q7" s="34">
        <f t="shared" si="7"/>
        <v>0.00154515309099102</v>
      </c>
      <c r="R7" s="51">
        <f t="shared" si="8"/>
        <v>5.099005200270366E-4</v>
      </c>
      <c r="S7" s="39">
        <f>VLOOKUP(E7,'Participaciones  Tabla I'!$C$5:$AD$110,15,FALSE)</f>
        <v>250670.80</v>
      </c>
      <c r="T7" s="39">
        <f>VLOOKUP(E7,'Participaciones  Tabla I'!$C$5:$AD$110,16,FALSE)</f>
        <v>80768</v>
      </c>
      <c r="U7" s="26">
        <f t="shared" si="9"/>
        <v>331438.80</v>
      </c>
      <c r="V7" s="24">
        <f t="shared" si="10"/>
        <v>0.0013487971590564465</v>
      </c>
      <c r="W7" s="24">
        <f t="shared" si="11"/>
        <v>4.5859103407919183E-4</v>
      </c>
      <c r="X7" s="24">
        <f t="shared" si="3"/>
        <v>0.0014962686238906956</v>
      </c>
      <c r="Y7" s="25">
        <f t="shared" si="12"/>
        <v>6.73320880750813E-5</v>
      </c>
      <c r="Z7" s="24">
        <f t="shared" si="13"/>
        <v>2.697594318112893E-5</v>
      </c>
      <c r="AA7" s="37">
        <f>VLOOKUP(D7,'Participaciones  Tabla I'!$B$5:$Y$110,24,FALSE)</f>
        <v>54.1461302464</v>
      </c>
      <c r="AB7" s="23">
        <f t="shared" si="14"/>
        <v>12614.90535146117</v>
      </c>
      <c r="AC7" s="35">
        <f t="shared" si="15"/>
        <v>0.008240573356923676</v>
      </c>
      <c r="AD7" s="22">
        <f t="shared" si="16"/>
        <v>2.060143339230919E-4</v>
      </c>
      <c r="AE7" s="22">
        <f t="shared" si="17"/>
        <v>0.0033750000000000004</v>
      </c>
      <c r="AF7" s="70">
        <f t="shared" si="18"/>
        <v>0.008763165463630752</v>
      </c>
      <c r="AG7" s="83"/>
      <c r="AH7" s="84"/>
      <c r="AI7" s="82"/>
      <c r="AJ7" s="68"/>
    </row>
    <row r="8" spans="1:36" s="6" customFormat="1" ht="13.5">
      <c r="A8" s="6" t="s">
        <v>96</v>
      </c>
      <c r="B8" s="6" t="s">
        <v>243</v>
      </c>
      <c r="C8" s="6" t="s">
        <v>461</v>
      </c>
      <c r="D8" s="32">
        <v>7</v>
      </c>
      <c r="E8" s="33" t="s">
        <v>243</v>
      </c>
      <c r="F8" s="23">
        <f>VLOOKUP(D8,'Participaciones  Tabla I'!B$5:D$110,3)</f>
        <v>7490</v>
      </c>
      <c r="G8" s="30">
        <f t="shared" si="0"/>
        <v>0.006501109702103356</v>
      </c>
      <c r="H8" s="30">
        <f t="shared" si="4"/>
        <v>0.004160710209346148</v>
      </c>
      <c r="I8" s="38">
        <f>VLOOKUP(E8,'Participaciones  Tabla I'!$C$5:$AD$110,5,FALSE)</f>
        <v>61295</v>
      </c>
      <c r="J8" s="38">
        <f>VLOOKUP(E8,'Participaciones  Tabla I'!$C$5:$AD$110,6,FALSE)</f>
        <v>18865</v>
      </c>
      <c r="K8" s="26">
        <f t="shared" si="1"/>
        <v>80160</v>
      </c>
      <c r="L8" s="53">
        <f t="shared" si="5"/>
        <v>4.976007150442818E-4</v>
      </c>
      <c r="M8" s="29">
        <f t="shared" si="6"/>
        <v>1.64208235964613E-4</v>
      </c>
      <c r="N8" s="39">
        <f>VLOOKUP(E8,'Participaciones  Tabla I'!$C$5:$AD$110,10,FALSE)</f>
        <v>86490</v>
      </c>
      <c r="O8" s="39">
        <f>VLOOKUP(E8,'Participaciones  Tabla I'!$C$5:$AD$110,11,FALSE)</f>
        <v>19585</v>
      </c>
      <c r="P8" s="26">
        <f t="shared" si="2"/>
        <v>106075</v>
      </c>
      <c r="Q8" s="34">
        <f t="shared" si="7"/>
        <v>5.236578776246573E-4</v>
      </c>
      <c r="R8" s="51">
        <f t="shared" si="8"/>
        <v>1.728070996161369E-4</v>
      </c>
      <c r="S8" s="39">
        <f>VLOOKUP(E8,'Participaciones  Tabla I'!$C$5:$AD$110,15,FALSE)</f>
        <v>114780</v>
      </c>
      <c r="T8" s="39">
        <f>VLOOKUP(E8,'Participaciones  Tabla I'!$C$5:$AD$110,16,FALSE)</f>
        <v>14095</v>
      </c>
      <c r="U8" s="26">
        <f t="shared" si="9"/>
        <v>128875</v>
      </c>
      <c r="V8" s="24">
        <f t="shared" si="10"/>
        <v>5.244595197466306E-4</v>
      </c>
      <c r="W8" s="24">
        <f t="shared" si="11"/>
        <v>1.7831623671385441E-4</v>
      </c>
      <c r="X8" s="24">
        <f t="shared" si="3"/>
        <v>5.153315722946043E-4</v>
      </c>
      <c r="Y8" s="25">
        <f t="shared" si="12"/>
        <v>2.3189920753257196E-5</v>
      </c>
      <c r="Z8" s="24">
        <f t="shared" si="13"/>
        <v>1.0489190394932612E-5</v>
      </c>
      <c r="AA8" s="37">
        <f>VLOOKUP(D8,'Participaciones  Tabla I'!$B$5:$Y$110,24,FALSE)</f>
        <v>56.2566657520727</v>
      </c>
      <c r="AB8" s="23">
        <f t="shared" si="14"/>
        <v>8014.520704071624</v>
      </c>
      <c r="AC8" s="35">
        <f t="shared" si="15"/>
        <v>0.005235413500334822</v>
      </c>
      <c r="AD8" s="22">
        <f t="shared" si="16"/>
        <v>1.3088533750837055E-4</v>
      </c>
      <c r="AE8" s="22">
        <f t="shared" si="17"/>
        <v>0.0033750000000000004</v>
      </c>
      <c r="AF8" s="70">
        <f t="shared" si="18"/>
        <v>0.007700274658002709</v>
      </c>
      <c r="AG8" s="83"/>
      <c r="AH8" s="84"/>
      <c r="AI8" s="82"/>
      <c r="AJ8" s="68"/>
    </row>
    <row r="9" spans="1:36" s="6" customFormat="1" ht="13.5">
      <c r="A9" s="6" t="s">
        <v>95</v>
      </c>
      <c r="B9" s="6" t="s">
        <v>244</v>
      </c>
      <c r="C9" s="6" t="s">
        <v>460</v>
      </c>
      <c r="D9" s="32">
        <v>8</v>
      </c>
      <c r="E9" s="31" t="s">
        <v>244</v>
      </c>
      <c r="F9" s="23">
        <f>VLOOKUP(D9,'Participaciones  Tabla I'!B$5:D$110,3)</f>
        <v>3949</v>
      </c>
      <c r="G9" s="30">
        <f t="shared" si="0"/>
        <v>0.0034276211233119033</v>
      </c>
      <c r="H9" s="30">
        <f t="shared" si="4"/>
        <v>0.002193677518919618</v>
      </c>
      <c r="I9" s="38">
        <f>VLOOKUP(E9,'Participaciones  Tabla I'!$C$5:$AD$110,5,FALSE)</f>
        <v>52800.18</v>
      </c>
      <c r="J9" s="38">
        <f>VLOOKUP(E9,'Participaciones  Tabla I'!$C$5:$AD$110,6,FALSE)</f>
        <v>4308</v>
      </c>
      <c r="K9" s="26">
        <f t="shared" si="1"/>
        <v>57108.18</v>
      </c>
      <c r="L9" s="53">
        <f t="shared" si="5"/>
        <v>3.545043812734225E-4</v>
      </c>
      <c r="M9" s="29">
        <f t="shared" si="6"/>
        <v>1.1698644582022943E-4</v>
      </c>
      <c r="N9" s="39">
        <f>VLOOKUP(E9,'Participaciones  Tabla I'!$C$5:$AD$110,10,FALSE)</f>
        <v>56229.16</v>
      </c>
      <c r="O9" s="39">
        <f>VLOOKUP(E9,'Participaciones  Tabla I'!$C$5:$AD$110,11,FALSE)</f>
        <v>7920</v>
      </c>
      <c r="P9" s="26">
        <f t="shared" si="2"/>
        <v>64149.16</v>
      </c>
      <c r="Q9" s="34">
        <f t="shared" si="7"/>
        <v>3.166836010087632E-4</v>
      </c>
      <c r="R9" s="51">
        <f t="shared" si="8"/>
        <v>1.0450558833289186E-4</v>
      </c>
      <c r="S9" s="39">
        <f>VLOOKUP(E9,'Participaciones  Tabla I'!$C$5:$AD$110,15,FALSE)</f>
        <v>153654.92</v>
      </c>
      <c r="T9" s="39">
        <f>VLOOKUP(E9,'Participaciones  Tabla I'!$C$5:$AD$110,16,FALSE)</f>
        <v>5544</v>
      </c>
      <c r="U9" s="26">
        <f t="shared" si="9"/>
        <v>159198.92</v>
      </c>
      <c r="V9" s="24">
        <f t="shared" si="10"/>
        <v>6.478633491940429E-4</v>
      </c>
      <c r="W9" s="24">
        <f t="shared" si="11"/>
        <v>2.2027353872597458E-4</v>
      </c>
      <c r="X9" s="24">
        <f t="shared" si="3"/>
        <v>4.417655728790959E-4</v>
      </c>
      <c r="Y9" s="25">
        <f t="shared" si="12"/>
        <v>1.9879450779559314E-5</v>
      </c>
      <c r="Z9" s="24">
        <f t="shared" si="13"/>
        <v>1.2957266983880858E-5</v>
      </c>
      <c r="AA9" s="37">
        <f>VLOOKUP(D9,'Participaciones  Tabla I'!$B$5:$Y$110,24,FALSE)</f>
        <v>52.1191022224473</v>
      </c>
      <c r="AB9" s="23">
        <f t="shared" si="14"/>
        <v>6604.539471109689</v>
      </c>
      <c r="AC9" s="35">
        <f t="shared" si="15"/>
        <v>0.004314355953060978</v>
      </c>
      <c r="AD9" s="22">
        <f t="shared" si="16"/>
        <v>1.0785889882652445E-4</v>
      </c>
      <c r="AE9" s="22">
        <f t="shared" si="17"/>
        <v>0.0033750000000000004</v>
      </c>
      <c r="AF9" s="70">
        <f t="shared" si="18"/>
        <v>0.005709373135509583</v>
      </c>
      <c r="AG9" s="83"/>
      <c r="AH9" s="84"/>
      <c r="AI9" s="82"/>
      <c r="AJ9" s="68"/>
    </row>
    <row r="10" spans="1:36" s="6" customFormat="1" ht="13.5">
      <c r="A10" s="6" t="s">
        <v>94</v>
      </c>
      <c r="B10" s="6" t="s">
        <v>245</v>
      </c>
      <c r="C10" s="6" t="s">
        <v>459</v>
      </c>
      <c r="D10" s="32">
        <v>9</v>
      </c>
      <c r="E10" s="33" t="s">
        <v>245</v>
      </c>
      <c r="F10" s="23">
        <f>VLOOKUP(D10,'Participaciones  Tabla I'!B$5:D$110,3)</f>
        <v>4466</v>
      </c>
      <c r="G10" s="30">
        <f t="shared" si="0"/>
        <v>0.003876362607422375</v>
      </c>
      <c r="H10" s="30">
        <f t="shared" si="4"/>
        <v>0.00248087206875032</v>
      </c>
      <c r="I10" s="38">
        <f>VLOOKUP(E10,'Participaciones  Tabla I'!$C$5:$AD$110,5,FALSE)</f>
        <v>84738</v>
      </c>
      <c r="J10" s="38">
        <f>VLOOKUP(E10,'Participaciones  Tabla I'!$C$5:$AD$110,6,FALSE)</f>
        <v>42076</v>
      </c>
      <c r="K10" s="26">
        <f t="shared" si="1"/>
        <v>126814</v>
      </c>
      <c r="L10" s="53">
        <f t="shared" si="5"/>
        <v>7.872097938825542E-4</v>
      </c>
      <c r="M10" s="29">
        <f t="shared" si="6"/>
        <v>2.597792319812429E-4</v>
      </c>
      <c r="N10" s="39">
        <f>VLOOKUP(E10,'Participaciones  Tabla I'!$C$5:$AD$110,10,FALSE)</f>
        <v>72190</v>
      </c>
      <c r="O10" s="39">
        <f>VLOOKUP(E10,'Participaciones  Tabla I'!$C$5:$AD$110,11,FALSE)</f>
        <v>68340</v>
      </c>
      <c r="P10" s="26">
        <f t="shared" si="2"/>
        <v>140530</v>
      </c>
      <c r="Q10" s="34">
        <f t="shared" si="7"/>
        <v>6.937510397604815E-4</v>
      </c>
      <c r="R10" s="51">
        <f t="shared" si="8"/>
        <v>2.2893784312095892E-4</v>
      </c>
      <c r="S10" s="39">
        <f>VLOOKUP(E10,'Participaciones  Tabla I'!$C$5:$AD$110,15,FALSE)</f>
        <v>78680</v>
      </c>
      <c r="T10" s="39">
        <f>VLOOKUP(E10,'Participaciones  Tabla I'!$C$5:$AD$110,16,FALSE)</f>
        <v>71928</v>
      </c>
      <c r="U10" s="26">
        <f t="shared" si="9"/>
        <v>150608</v>
      </c>
      <c r="V10" s="24">
        <f t="shared" si="10"/>
        <v>6.129024197866191E-4</v>
      </c>
      <c r="W10" s="24">
        <f t="shared" si="11"/>
        <v>2.083868227274505E-4</v>
      </c>
      <c r="X10" s="24">
        <f t="shared" si="3"/>
        <v>6.971038978296523E-4</v>
      </c>
      <c r="Y10" s="25">
        <f t="shared" si="12"/>
        <v>3.136967540233435E-5</v>
      </c>
      <c r="Z10" s="24">
        <f t="shared" si="13"/>
        <v>1.2258048395732383E-5</v>
      </c>
      <c r="AA10" s="37">
        <f>VLOOKUP(D10,'Participaciones  Tabla I'!$B$5:$Y$110,24,FALSE)</f>
        <v>53.7285104726297</v>
      </c>
      <c r="AB10" s="23">
        <f t="shared" si="14"/>
        <v>6422.6835565767215</v>
      </c>
      <c r="AC10" s="35">
        <f t="shared" si="15"/>
        <v>0.004195560214024713</v>
      </c>
      <c r="AD10" s="22">
        <f t="shared" si="16"/>
        <v>1.0488900535061784E-4</v>
      </c>
      <c r="AE10" s="22">
        <f t="shared" si="17"/>
        <v>0.0033750000000000004</v>
      </c>
      <c r="AF10" s="70">
        <f t="shared" si="18"/>
        <v>0.006004388797899005</v>
      </c>
      <c r="AG10" s="83"/>
      <c r="AH10" s="84"/>
      <c r="AI10" s="82"/>
      <c r="AJ10" s="68"/>
    </row>
    <row r="11" spans="1:36" s="6" customFormat="1" ht="13.5">
      <c r="A11" s="6" t="s">
        <v>93</v>
      </c>
      <c r="B11" s="6" t="s">
        <v>246</v>
      </c>
      <c r="C11" s="6" t="s">
        <v>458</v>
      </c>
      <c r="D11" s="32">
        <v>10</v>
      </c>
      <c r="E11" s="31" t="s">
        <v>246</v>
      </c>
      <c r="F11" s="23">
        <f>VLOOKUP(D11,'Participaciones  Tabla I'!B$5:D$110,3)</f>
        <v>2755</v>
      </c>
      <c r="G11" s="30">
        <f t="shared" si="0"/>
        <v>0.002391262647435881</v>
      </c>
      <c r="H11" s="30">
        <f t="shared" si="4"/>
        <v>0.0015304080943589638</v>
      </c>
      <c r="I11" s="38">
        <f>VLOOKUP(E11,'Participaciones  Tabla I'!$C$5:$AD$110,5,FALSE)</f>
        <v>0</v>
      </c>
      <c r="J11" s="38">
        <f>VLOOKUP(E11,'Participaciones  Tabla I'!$C$5:$AD$110,6,FALSE)</f>
        <v>0</v>
      </c>
      <c r="K11" s="26">
        <f t="shared" si="1"/>
        <v>0</v>
      </c>
      <c r="L11" s="53">
        <f t="shared" si="5"/>
        <v>0</v>
      </c>
      <c r="M11" s="29">
        <f t="shared" si="6"/>
        <v>0</v>
      </c>
      <c r="N11" s="39">
        <f>VLOOKUP(E11,'Participaciones  Tabla I'!$C$5:$AD$110,10,FALSE)</f>
        <v>11176</v>
      </c>
      <c r="O11" s="39">
        <f>VLOOKUP(E11,'Participaciones  Tabla I'!$C$5:$AD$110,11,FALSE)</f>
        <v>0</v>
      </c>
      <c r="P11" s="26">
        <f t="shared" si="2"/>
        <v>11176</v>
      </c>
      <c r="Q11" s="34">
        <f t="shared" si="7"/>
        <v>5.517228791263888E-5</v>
      </c>
      <c r="R11" s="51">
        <f t="shared" si="8"/>
        <v>1.820685501117083E-5</v>
      </c>
      <c r="S11" s="39">
        <f>VLOOKUP(E11,'Participaciones  Tabla I'!$C$5:$AD$110,15,FALSE)</f>
        <v>53028.49</v>
      </c>
      <c r="T11" s="39">
        <f>VLOOKUP(E11,'Participaciones  Tabla I'!$C$5:$AD$110,16,FALSE)</f>
        <v>1500</v>
      </c>
      <c r="U11" s="26">
        <f t="shared" si="9"/>
        <v>54528.49</v>
      </c>
      <c r="V11" s="24">
        <f t="shared" si="10"/>
        <v>2.2190483552208688E-4</v>
      </c>
      <c r="W11" s="24">
        <f t="shared" si="11"/>
        <v>7.544764407750955E-5</v>
      </c>
      <c r="X11" s="24">
        <f t="shared" si="3"/>
        <v>9.365449908868037E-5</v>
      </c>
      <c r="Y11" s="25">
        <f t="shared" si="12"/>
        <v>4.214452458990616E-6</v>
      </c>
      <c r="Z11" s="24">
        <f t="shared" si="13"/>
        <v>4.438096710441738E-6</v>
      </c>
      <c r="AA11" s="37">
        <f>VLOOKUP(D11,'Participaciones  Tabla I'!$B$5:$Y$110,24,FALSE)</f>
        <v>49.0618522491806</v>
      </c>
      <c r="AB11" s="23">
        <f t="shared" si="14"/>
        <v>5833.97233099068</v>
      </c>
      <c r="AC11" s="35">
        <f t="shared" si="15"/>
        <v>0.0038109899057009733</v>
      </c>
      <c r="AD11" s="22">
        <f t="shared" si="16"/>
        <v>9.527474764252434E-5</v>
      </c>
      <c r="AE11" s="22">
        <f t="shared" si="17"/>
        <v>0.0033750000000000004</v>
      </c>
      <c r="AF11" s="70">
        <f t="shared" si="18"/>
        <v>0.0050093353911709205</v>
      </c>
      <c r="AG11" s="83"/>
      <c r="AH11" s="84"/>
      <c r="AI11" s="82"/>
      <c r="AJ11" s="68"/>
    </row>
    <row r="12" spans="1:36" s="6" customFormat="1" ht="13.5">
      <c r="A12" s="6" t="s">
        <v>92</v>
      </c>
      <c r="B12" s="6" t="s">
        <v>247</v>
      </c>
      <c r="C12" s="6" t="s">
        <v>457</v>
      </c>
      <c r="D12" s="32">
        <v>11</v>
      </c>
      <c r="E12" s="31" t="s">
        <v>247</v>
      </c>
      <c r="F12" s="23">
        <f>VLOOKUP(D12,'Participaciones  Tabla I'!B$5:D$110,3)</f>
        <v>8389</v>
      </c>
      <c r="G12" s="30">
        <f t="shared" si="0"/>
        <v>0.007281416460740328</v>
      </c>
      <c r="H12" s="30">
        <f t="shared" si="4"/>
        <v>0.00466010653487381</v>
      </c>
      <c r="I12" s="38">
        <f>VLOOKUP(E12,'Participaciones  Tabla I'!$C$5:$AD$110,5,FALSE)</f>
        <v>300492.55</v>
      </c>
      <c r="J12" s="38">
        <f>VLOOKUP(E12,'Participaciones  Tabla I'!$C$5:$AD$110,6,FALSE)</f>
        <v>8900</v>
      </c>
      <c r="K12" s="26">
        <f t="shared" si="1"/>
        <v>309392.55</v>
      </c>
      <c r="L12" s="53">
        <f t="shared" si="5"/>
        <v>0.001920583259847476</v>
      </c>
      <c r="M12" s="29">
        <f t="shared" si="6"/>
        <v>6.337924757496671E-4</v>
      </c>
      <c r="N12" s="39">
        <f>VLOOKUP(E12,'Participaciones  Tabla I'!$C$5:$AD$110,10,FALSE)</f>
        <v>0</v>
      </c>
      <c r="O12" s="39">
        <f>VLOOKUP(E12,'Participaciones  Tabla I'!$C$5:$AD$110,11,FALSE)</f>
        <v>0</v>
      </c>
      <c r="P12" s="26">
        <f t="shared" si="2"/>
        <v>0</v>
      </c>
      <c r="Q12" s="34">
        <f t="shared" si="7"/>
        <v>0</v>
      </c>
      <c r="R12" s="51">
        <f t="shared" si="8"/>
        <v>0</v>
      </c>
      <c r="S12" s="39">
        <f>VLOOKUP(E12,'Participaciones  Tabla I'!$C$5:$AD$110,15,FALSE)</f>
        <v>0</v>
      </c>
      <c r="T12" s="39">
        <f>VLOOKUP(E12,'Participaciones  Tabla I'!$C$5:$AD$110,16,FALSE)</f>
        <v>0</v>
      </c>
      <c r="U12" s="26">
        <f t="shared" si="9"/>
        <v>0</v>
      </c>
      <c r="V12" s="24">
        <f t="shared" si="10"/>
        <v>0</v>
      </c>
      <c r="W12" s="24">
        <f t="shared" si="11"/>
        <v>0</v>
      </c>
      <c r="X12" s="24">
        <f t="shared" si="3"/>
        <v>6.337924757496671E-4</v>
      </c>
      <c r="Y12" s="25">
        <f t="shared" si="12"/>
        <v>2.8520661408735016E-5</v>
      </c>
      <c r="Z12" s="24">
        <f t="shared" si="13"/>
        <v>0</v>
      </c>
      <c r="AA12" s="37">
        <f>VLOOKUP(D12,'Participaciones  Tabla I'!$B$5:$Y$110,24,FALSE)</f>
        <v>55.2011694096428</v>
      </c>
      <c r="AB12" s="23">
        <f t="shared" si="14"/>
        <v>10265.70095815694</v>
      </c>
      <c r="AC12" s="35">
        <f t="shared" si="15"/>
        <v>0.006705976735381162</v>
      </c>
      <c r="AD12" s="22">
        <f t="shared" si="16"/>
        <v>1.6764941838452906E-4</v>
      </c>
      <c r="AE12" s="22">
        <f t="shared" si="17"/>
        <v>0.0033750000000000004</v>
      </c>
      <c r="AF12" s="70">
        <f t="shared" si="18"/>
        <v>0.008231276614667073</v>
      </c>
      <c r="AG12" s="83"/>
      <c r="AH12" s="84"/>
      <c r="AI12" s="82"/>
      <c r="AJ12" s="68"/>
    </row>
    <row r="13" spans="1:36" s="6" customFormat="1" ht="13.5">
      <c r="A13" s="6" t="s">
        <v>91</v>
      </c>
      <c r="B13" s="6" t="s">
        <v>249</v>
      </c>
      <c r="C13" s="6" t="s">
        <v>456</v>
      </c>
      <c r="D13" s="32">
        <v>13</v>
      </c>
      <c r="E13" s="33" t="s">
        <v>249</v>
      </c>
      <c r="F13" s="23">
        <f>VLOOKUP(D13,'Participaciones  Tabla I'!B$5:D$110,3)</f>
        <v>16671</v>
      </c>
      <c r="G13" s="30">
        <f t="shared" si="0"/>
        <v>0.014469959925736322</v>
      </c>
      <c r="H13" s="30">
        <f t="shared" si="4"/>
        <v>0.009260774352471246</v>
      </c>
      <c r="I13" s="38">
        <f>VLOOKUP(E13,'Participaciones  Tabla I'!$C$5:$AD$110,5,FALSE)</f>
        <v>9123211.28</v>
      </c>
      <c r="J13" s="38">
        <f>VLOOKUP(E13,'Participaciones  Tabla I'!$C$5:$AD$110,6,FALSE)</f>
        <v>620168.62</v>
      </c>
      <c r="K13" s="26">
        <f t="shared" si="1"/>
        <v>9743379.899999999</v>
      </c>
      <c r="L13" s="53">
        <f t="shared" si="5"/>
        <v>0.06048294417649802</v>
      </c>
      <c r="M13" s="29">
        <f t="shared" si="6"/>
        <v>0.01995937157824435</v>
      </c>
      <c r="N13" s="39">
        <f>VLOOKUP(E13,'Participaciones  Tabla I'!$C$5:$AD$110,10,FALSE)</f>
        <v>8992644.08</v>
      </c>
      <c r="O13" s="39">
        <f>VLOOKUP(E13,'Participaciones  Tabla I'!$C$5:$AD$110,11,FALSE)</f>
        <v>1045972.88</v>
      </c>
      <c r="P13" s="26">
        <f t="shared" si="2"/>
        <v>1.003861696E7</v>
      </c>
      <c r="Q13" s="34">
        <f t="shared" si="7"/>
        <v>0.04955739666802252</v>
      </c>
      <c r="R13" s="51">
        <f t="shared" si="8"/>
        <v>0.016353940900447433</v>
      </c>
      <c r="S13" s="39">
        <f>VLOOKUP(E13,'Participaciones  Tabla I'!$C$5:$AD$110,15,FALSE)</f>
        <v>1.603323408E7</v>
      </c>
      <c r="T13" s="39">
        <f>VLOOKUP(E13,'Participaciones  Tabla I'!$C$5:$AD$110,16,FALSE)</f>
        <v>1055204.24</v>
      </c>
      <c r="U13" s="26">
        <f t="shared" si="9"/>
        <v>1.708843832E7</v>
      </c>
      <c r="V13" s="24">
        <f t="shared" si="10"/>
        <v>0.06954175871602032</v>
      </c>
      <c r="W13" s="24">
        <f t="shared" si="11"/>
        <v>0.02364419796344691</v>
      </c>
      <c r="X13" s="24">
        <f t="shared" si="3"/>
        <v>0.05995751044213869</v>
      </c>
      <c r="Y13" s="25">
        <f t="shared" si="12"/>
        <v>0.002698087969896241</v>
      </c>
      <c r="Z13" s="24">
        <f t="shared" si="13"/>
        <v>0.0013908351743204064</v>
      </c>
      <c r="AA13" s="37">
        <f>VLOOKUP(D13,'Participaciones  Tabla I'!$B$5:$Y$110,24,FALSE)</f>
        <v>58.8830841950992</v>
      </c>
      <c r="AB13" s="23">
        <f t="shared" si="14"/>
        <v>11463.362052637745</v>
      </c>
      <c r="AC13" s="35">
        <f t="shared" si="15"/>
        <v>0.007488338063574513</v>
      </c>
      <c r="AD13" s="22">
        <f t="shared" si="16"/>
        <v>1.8720845158936282E-4</v>
      </c>
      <c r="AE13" s="22">
        <f t="shared" si="17"/>
        <v>0.0033750000000000004</v>
      </c>
      <c r="AF13" s="70">
        <f t="shared" si="18"/>
        <v>0.016911905948277257</v>
      </c>
      <c r="AG13" s="83"/>
      <c r="AH13" s="84"/>
      <c r="AI13" s="82"/>
      <c r="AJ13" s="68"/>
    </row>
    <row r="14" spans="1:36" s="6" customFormat="1" ht="13.5">
      <c r="A14" s="6" t="s">
        <v>90</v>
      </c>
      <c r="B14" s="6" t="s">
        <v>251</v>
      </c>
      <c r="C14" s="6" t="s">
        <v>455</v>
      </c>
      <c r="D14" s="32">
        <v>15</v>
      </c>
      <c r="E14" s="33" t="s">
        <v>251</v>
      </c>
      <c r="F14" s="23">
        <f>VLOOKUP(D14,'Participaciones  Tabla I'!B$5:D$110,3)</f>
        <v>5560</v>
      </c>
      <c r="G14" s="30">
        <f t="shared" si="0"/>
        <v>0.004825923891013974</v>
      </c>
      <c r="H14" s="30">
        <f t="shared" si="4"/>
        <v>0.0030885912902489433</v>
      </c>
      <c r="I14" s="38">
        <f>VLOOKUP(E14,'Participaciones  Tabla I'!$C$5:$AD$110,5,FALSE)</f>
        <v>21650</v>
      </c>
      <c r="J14" s="38">
        <f>VLOOKUP(E14,'Participaciones  Tabla I'!$C$5:$AD$110,6,FALSE)</f>
        <v>0</v>
      </c>
      <c r="K14" s="26">
        <f t="shared" si="1"/>
        <v>21650</v>
      </c>
      <c r="L14" s="53">
        <f t="shared" si="5"/>
        <v>1.3439440469945982E-4</v>
      </c>
      <c r="M14" s="29">
        <f t="shared" si="6"/>
        <v>4.4350153550821744E-5</v>
      </c>
      <c r="N14" s="39">
        <f>VLOOKUP(E14,'Participaciones  Tabla I'!$C$5:$AD$110,10,FALSE)</f>
        <v>0</v>
      </c>
      <c r="O14" s="39">
        <f>VLOOKUP(E14,'Participaciones  Tabla I'!$C$5:$AD$110,11,FALSE)</f>
        <v>0</v>
      </c>
      <c r="P14" s="26">
        <f t="shared" si="2"/>
        <v>0</v>
      </c>
      <c r="Q14" s="34">
        <f t="shared" si="7"/>
        <v>0</v>
      </c>
      <c r="R14" s="51">
        <f t="shared" si="8"/>
        <v>0</v>
      </c>
      <c r="S14" s="39">
        <f>VLOOKUP(E14,'Participaciones  Tabla I'!$C$5:$AD$110,15,FALSE)</f>
        <v>0</v>
      </c>
      <c r="T14" s="39">
        <f>VLOOKUP(E14,'Participaciones  Tabla I'!$C$5:$AD$110,16,FALSE)</f>
        <v>0</v>
      </c>
      <c r="U14" s="26">
        <f t="shared" si="9"/>
        <v>0</v>
      </c>
      <c r="V14" s="24">
        <f t="shared" si="10"/>
        <v>0</v>
      </c>
      <c r="W14" s="24">
        <f t="shared" si="11"/>
        <v>0</v>
      </c>
      <c r="X14" s="24">
        <f t="shared" si="3"/>
        <v>4.4350153550821744E-5</v>
      </c>
      <c r="Y14" s="25">
        <f t="shared" si="12"/>
        <v>1.995756909786978E-6</v>
      </c>
      <c r="Z14" s="24">
        <f t="shared" si="13"/>
        <v>0</v>
      </c>
      <c r="AA14" s="37">
        <f>VLOOKUP(D14,'Participaciones  Tabla I'!$B$5:$Y$110,24,FALSE)</f>
        <v>51.7112428233544</v>
      </c>
      <c r="AB14" s="23">
        <f t="shared" si="14"/>
        <v>9629.047329752966</v>
      </c>
      <c r="AC14" s="35">
        <f t="shared" si="15"/>
        <v>0.006290088484011374</v>
      </c>
      <c r="AD14" s="22">
        <f t="shared" si="16"/>
        <v>1.5725221210028436E-4</v>
      </c>
      <c r="AE14" s="22">
        <f t="shared" si="17"/>
        <v>0.0033750000000000004</v>
      </c>
      <c r="AF14" s="70">
        <f t="shared" si="18"/>
        <v>0.0066228392592590155</v>
      </c>
      <c r="AG14" s="83"/>
      <c r="AH14" s="84"/>
      <c r="AI14" s="82"/>
      <c r="AJ14" s="68"/>
    </row>
    <row r="15" spans="1:36" s="6" customFormat="1" ht="13.5">
      <c r="A15" s="6" t="s">
        <v>89</v>
      </c>
      <c r="B15" s="6" t="s">
        <v>252</v>
      </c>
      <c r="C15" s="6" t="s">
        <v>454</v>
      </c>
      <c r="D15" s="32">
        <v>16</v>
      </c>
      <c r="E15" s="31" t="s">
        <v>252</v>
      </c>
      <c r="F15" s="23">
        <f>VLOOKUP(D15,'Participaciones  Tabla I'!B$5:D$110,3)</f>
        <v>3104</v>
      </c>
      <c r="G15" s="30">
        <f t="shared" si="0"/>
        <v>0.0026941848485085205</v>
      </c>
      <c r="H15" s="30">
        <f t="shared" si="4"/>
        <v>0.0017242783030454532</v>
      </c>
      <c r="I15" s="38">
        <f>VLOOKUP(E15,'Participaciones  Tabla I'!$C$5:$AD$110,5,FALSE)</f>
        <v>0</v>
      </c>
      <c r="J15" s="38">
        <f>VLOOKUP(E15,'Participaciones  Tabla I'!$C$5:$AD$110,6,FALSE)</f>
        <v>0</v>
      </c>
      <c r="K15" s="26">
        <f t="shared" si="1"/>
        <v>0</v>
      </c>
      <c r="L15" s="53">
        <f t="shared" si="5"/>
        <v>0</v>
      </c>
      <c r="M15" s="29">
        <f t="shared" si="6"/>
        <v>0</v>
      </c>
      <c r="N15" s="39">
        <f>VLOOKUP(E15,'Participaciones  Tabla I'!$C$5:$AD$110,10,FALSE)</f>
        <v>3583</v>
      </c>
      <c r="O15" s="39">
        <f>VLOOKUP(E15,'Participaciones  Tabla I'!$C$5:$AD$110,11,FALSE)</f>
        <v>8820</v>
      </c>
      <c r="P15" s="26">
        <f t="shared" si="2"/>
        <v>12403</v>
      </c>
      <c r="Q15" s="34">
        <f t="shared" si="7"/>
        <v>6.122958902831604E-5</v>
      </c>
      <c r="R15" s="51">
        <f t="shared" si="8"/>
        <v>2.0205764379344292E-5</v>
      </c>
      <c r="S15" s="39">
        <f>VLOOKUP(E15,'Participaciones  Tabla I'!$C$5:$AD$110,15,FALSE)</f>
        <v>0</v>
      </c>
      <c r="T15" s="39">
        <f>VLOOKUP(E15,'Participaciones  Tabla I'!$C$5:$AD$110,16,FALSE)</f>
        <v>0</v>
      </c>
      <c r="U15" s="26">
        <f t="shared" si="9"/>
        <v>0</v>
      </c>
      <c r="V15" s="24">
        <f t="shared" si="10"/>
        <v>0</v>
      </c>
      <c r="W15" s="24">
        <f t="shared" si="11"/>
        <v>0</v>
      </c>
      <c r="X15" s="24">
        <f t="shared" si="3"/>
        <v>2.0205764379344292E-5</v>
      </c>
      <c r="Y15" s="25">
        <f t="shared" si="12"/>
        <v>9.092593970704931E-7</v>
      </c>
      <c r="Z15" s="24">
        <f t="shared" si="13"/>
        <v>0</v>
      </c>
      <c r="AA15" s="37">
        <f>VLOOKUP(D15,'Participaciones  Tabla I'!$B$5:$Y$110,24,FALSE)</f>
        <v>52.3038560460195</v>
      </c>
      <c r="AB15" s="23">
        <f t="shared" si="14"/>
        <v>5107.813769307434</v>
      </c>
      <c r="AC15" s="35">
        <f t="shared" si="15"/>
        <v>0.0033366333624221243</v>
      </c>
      <c r="AD15" s="22">
        <f t="shared" si="16"/>
        <v>8.341583406055311E-5</v>
      </c>
      <c r="AE15" s="22">
        <f t="shared" si="17"/>
        <v>0.0033750000000000004</v>
      </c>
      <c r="AF15" s="70">
        <f t="shared" si="18"/>
        <v>0.005183603396503077</v>
      </c>
      <c r="AG15" s="83"/>
      <c r="AH15" s="84"/>
      <c r="AI15" s="82"/>
      <c r="AJ15" s="68"/>
    </row>
    <row r="16" spans="1:36" s="6" customFormat="1" ht="13.5">
      <c r="A16" s="6" t="s">
        <v>88</v>
      </c>
      <c r="B16" s="6" t="s">
        <v>253</v>
      </c>
      <c r="C16" s="6" t="s">
        <v>453</v>
      </c>
      <c r="D16" s="32">
        <v>17</v>
      </c>
      <c r="E16" s="31" t="s">
        <v>253</v>
      </c>
      <c r="F16" s="23">
        <f>VLOOKUP(D16,'Participaciones  Tabla I'!B$5:D$110,3)</f>
        <v>4686</v>
      </c>
      <c r="G16" s="30">
        <f t="shared" si="0"/>
        <v>0.004067316430448108</v>
      </c>
      <c r="H16" s="30">
        <f t="shared" si="4"/>
        <v>0.002603082515486789</v>
      </c>
      <c r="I16" s="38">
        <f>VLOOKUP(E16,'Participaciones  Tabla I'!$C$5:$AD$110,5,FALSE)</f>
        <v>0</v>
      </c>
      <c r="J16" s="38">
        <f>VLOOKUP(E16,'Participaciones  Tabla I'!$C$5:$AD$110,6,FALSE)</f>
        <v>0</v>
      </c>
      <c r="K16" s="26">
        <f t="shared" si="1"/>
        <v>0</v>
      </c>
      <c r="L16" s="53">
        <f t="shared" si="5"/>
        <v>0</v>
      </c>
      <c r="M16" s="29">
        <f t="shared" si="6"/>
        <v>0</v>
      </c>
      <c r="N16" s="39">
        <f>VLOOKUP(E16,'Participaciones  Tabla I'!$C$5:$AD$110,10,FALSE)</f>
        <v>0</v>
      </c>
      <c r="O16" s="39">
        <f>VLOOKUP(E16,'Participaciones  Tabla I'!$C$5:$AD$110,11,FALSE)</f>
        <v>0</v>
      </c>
      <c r="P16" s="26">
        <f t="shared" si="2"/>
        <v>0</v>
      </c>
      <c r="Q16" s="34">
        <f t="shared" si="7"/>
        <v>0</v>
      </c>
      <c r="R16" s="51">
        <f t="shared" si="8"/>
        <v>0</v>
      </c>
      <c r="S16" s="39">
        <f>VLOOKUP(E16,'Participaciones  Tabla I'!$C$5:$AD$110,15,FALSE)</f>
        <v>0</v>
      </c>
      <c r="T16" s="39">
        <f>VLOOKUP(E16,'Participaciones  Tabla I'!$C$5:$AD$110,16,FALSE)</f>
        <v>0</v>
      </c>
      <c r="U16" s="26">
        <f t="shared" si="9"/>
        <v>0</v>
      </c>
      <c r="V16" s="24">
        <f t="shared" si="10"/>
        <v>0</v>
      </c>
      <c r="W16" s="24">
        <f t="shared" si="11"/>
        <v>0</v>
      </c>
      <c r="X16" s="24">
        <f t="shared" si="3"/>
        <v>0</v>
      </c>
      <c r="Y16" s="25">
        <f t="shared" si="12"/>
        <v>0</v>
      </c>
      <c r="Z16" s="24">
        <f t="shared" si="13"/>
        <v>0</v>
      </c>
      <c r="AA16" s="37">
        <f>VLOOKUP(D16,'Participaciones  Tabla I'!$B$5:$Y$110,24,FALSE)</f>
        <v>49.8884484015607</v>
      </c>
      <c r="AB16" s="23">
        <f t="shared" si="14"/>
        <v>9359.075603065714</v>
      </c>
      <c r="AC16" s="35">
        <f t="shared" si="15"/>
        <v>0.006113731883935578</v>
      </c>
      <c r="AD16" s="22">
        <f t="shared" si="16"/>
        <v>1.5284329709838946E-4</v>
      </c>
      <c r="AE16" s="22">
        <f t="shared" si="17"/>
        <v>0.0033750000000000004</v>
      </c>
      <c r="AF16" s="70">
        <f t="shared" si="18"/>
        <v>0.006130925812585179</v>
      </c>
      <c r="AG16" s="83"/>
      <c r="AH16" s="84"/>
      <c r="AI16" s="82"/>
      <c r="AJ16" s="68"/>
    </row>
    <row r="17" spans="1:36" s="6" customFormat="1" ht="13.5">
      <c r="A17" s="6" t="s">
        <v>87</v>
      </c>
      <c r="B17" s="6" t="s">
        <v>1</v>
      </c>
      <c r="C17" s="6" t="s">
        <v>452</v>
      </c>
      <c r="D17" s="32">
        <v>18</v>
      </c>
      <c r="E17" s="31" t="s">
        <v>1</v>
      </c>
      <c r="F17" s="23">
        <f>VLOOKUP(D17,'Participaciones  Tabla I'!B$5:D$110,3)</f>
        <v>3385</v>
      </c>
      <c r="G17" s="30">
        <f t="shared" si="0"/>
        <v>0.0029380849588277517</v>
      </c>
      <c r="H17" s="30">
        <f t="shared" si="4"/>
        <v>0.001880374373649761</v>
      </c>
      <c r="I17" s="38">
        <f>VLOOKUP(E17,'Participaciones  Tabla I'!$C$5:$AD$110,5,FALSE)</f>
        <v>0</v>
      </c>
      <c r="J17" s="38">
        <f>VLOOKUP(E17,'Participaciones  Tabla I'!$C$5:$AD$110,6,FALSE)</f>
        <v>0</v>
      </c>
      <c r="K17" s="26">
        <f t="shared" si="1"/>
        <v>0</v>
      </c>
      <c r="L17" s="53">
        <f t="shared" si="5"/>
        <v>0</v>
      </c>
      <c r="M17" s="29">
        <f t="shared" si="6"/>
        <v>0</v>
      </c>
      <c r="N17" s="39">
        <f>VLOOKUP(E17,'Participaciones  Tabla I'!$C$5:$AD$110,10,FALSE)</f>
        <v>0</v>
      </c>
      <c r="O17" s="39">
        <f>VLOOKUP(E17,'Participaciones  Tabla I'!$C$5:$AD$110,11,FALSE)</f>
        <v>0</v>
      </c>
      <c r="P17" s="26">
        <f t="shared" si="2"/>
        <v>0</v>
      </c>
      <c r="Q17" s="34">
        <f t="shared" si="7"/>
        <v>0</v>
      </c>
      <c r="R17" s="51">
        <f t="shared" si="8"/>
        <v>0</v>
      </c>
      <c r="S17" s="39">
        <f>VLOOKUP(E17,'Participaciones  Tabla I'!$C$5:$AD$110,15,FALSE)</f>
        <v>580</v>
      </c>
      <c r="T17" s="39">
        <f>VLOOKUP(E17,'Participaciones  Tabla I'!$C$5:$AD$110,16,FALSE)</f>
        <v>120</v>
      </c>
      <c r="U17" s="26">
        <f t="shared" si="9"/>
        <v>700</v>
      </c>
      <c r="V17" s="24">
        <f t="shared" si="10"/>
        <v>2.848664704734366E-6</v>
      </c>
      <c r="W17" s="24">
        <f t="shared" si="11"/>
        <v>9.685459996096844E-7</v>
      </c>
      <c r="X17" s="24">
        <f t="shared" si="3"/>
        <v>9.685459996096844E-7</v>
      </c>
      <c r="Y17" s="25">
        <f t="shared" si="12"/>
        <v>4.35845699824358E-8</v>
      </c>
      <c r="Z17" s="24">
        <f t="shared" si="13"/>
        <v>5.697329409468732E-8</v>
      </c>
      <c r="AA17" s="37">
        <f>VLOOKUP(D17,'Participaciones  Tabla I'!$B$5:$Y$110,24,FALSE)</f>
        <v>52.5760722796216</v>
      </c>
      <c r="AB17" s="23">
        <f t="shared" si="14"/>
        <v>5436.052320554814</v>
      </c>
      <c r="AC17" s="35">
        <f t="shared" si="15"/>
        <v>0.0035510522411028975</v>
      </c>
      <c r="AD17" s="22">
        <f t="shared" si="16"/>
        <v>8.877630602757244E-5</v>
      </c>
      <c r="AE17" s="22">
        <f t="shared" si="17"/>
        <v>0.0033750000000000004</v>
      </c>
      <c r="AF17" s="70">
        <f t="shared" si="18"/>
        <v>0.005344251237541411</v>
      </c>
      <c r="AG17" s="83"/>
      <c r="AH17" s="84"/>
      <c r="AI17" s="82"/>
      <c r="AJ17" s="68"/>
    </row>
    <row r="18" spans="1:36" s="6" customFormat="1" ht="13.5">
      <c r="A18" s="6" t="s">
        <v>86</v>
      </c>
      <c r="B18" s="6" t="s">
        <v>254</v>
      </c>
      <c r="C18" s="6" t="s">
        <v>451</v>
      </c>
      <c r="D18" s="32">
        <v>19</v>
      </c>
      <c r="E18" s="31" t="s">
        <v>254</v>
      </c>
      <c r="F18" s="23">
        <f>VLOOKUP(D18,'Participaciones  Tabla I'!B$5:D$110,3)</f>
        <v>38934</v>
      </c>
      <c r="G18" s="30">
        <f t="shared" si="0"/>
        <v>0.03379361884401763</v>
      </c>
      <c r="H18" s="30">
        <f t="shared" si="4"/>
        <v>0.021627916060171285</v>
      </c>
      <c r="I18" s="38">
        <f>VLOOKUP(E18,'Participaciones  Tabla I'!$C$5:$AD$110,5,FALSE)</f>
        <v>31340</v>
      </c>
      <c r="J18" s="38">
        <f>VLOOKUP(E18,'Participaciones  Tabla I'!$C$5:$AD$110,6,FALSE)</f>
        <v>13200</v>
      </c>
      <c r="K18" s="26">
        <f t="shared" si="1"/>
        <v>44540</v>
      </c>
      <c r="L18" s="53">
        <f t="shared" si="5"/>
        <v>2.7648622564960463E-4</v>
      </c>
      <c r="M18" s="29">
        <f t="shared" si="6"/>
        <v>9.124045446436953E-5</v>
      </c>
      <c r="N18" s="39">
        <f>VLOOKUP(E18,'Participaciones  Tabla I'!$C$5:$AD$110,10,FALSE)</f>
        <v>535</v>
      </c>
      <c r="O18" s="39">
        <f>VLOOKUP(E18,'Participaciones  Tabla I'!$C$5:$AD$110,11,FALSE)</f>
        <v>3600</v>
      </c>
      <c r="P18" s="26">
        <f t="shared" si="2"/>
        <v>4135</v>
      </c>
      <c r="Q18" s="34">
        <f t="shared" si="7"/>
        <v>2.0413154126589278E-5</v>
      </c>
      <c r="R18" s="51">
        <f t="shared" si="8"/>
        <v>6.736340861774462E-6</v>
      </c>
      <c r="S18" s="39">
        <f>VLOOKUP(E18,'Participaciones  Tabla I'!$C$5:$AD$110,15,FALSE)</f>
        <v>33324</v>
      </c>
      <c r="T18" s="39">
        <f>VLOOKUP(E18,'Participaciones  Tabla I'!$C$5:$AD$110,16,FALSE)</f>
        <v>59680</v>
      </c>
      <c r="U18" s="26">
        <f t="shared" si="9"/>
        <v>93004</v>
      </c>
      <c r="V18" s="24">
        <f t="shared" si="10"/>
        <v>3.784817317130214E-4</v>
      </c>
      <c r="W18" s="24">
        <f t="shared" si="11"/>
        <v>1.2868378878242727E-4</v>
      </c>
      <c r="X18" s="24">
        <f t="shared" si="3"/>
        <v>2.2666058410857125E-4</v>
      </c>
      <c r="Y18" s="25">
        <f t="shared" si="12"/>
        <v>1.0199726284885706E-5</v>
      </c>
      <c r="Z18" s="24">
        <f t="shared" si="13"/>
        <v>7.569634634260428E-6</v>
      </c>
      <c r="AA18" s="37">
        <f>VLOOKUP(D18,'Participaciones  Tabla I'!$B$5:$Y$110,24,FALSE)</f>
        <v>48.7793371874385</v>
      </c>
      <c r="AB18" s="23">
        <f t="shared" si="14"/>
        <v>84047.93563348557</v>
      </c>
      <c r="AC18" s="35">
        <f t="shared" si="15"/>
        <v>0.05490355732280732</v>
      </c>
      <c r="AD18" s="22">
        <f t="shared" si="16"/>
        <v>0.001372588933070183</v>
      </c>
      <c r="AE18" s="22">
        <f t="shared" si="17"/>
        <v>0.0033750000000000004</v>
      </c>
      <c r="AF18" s="70">
        <f t="shared" si="18"/>
        <v>0.026393274354160615</v>
      </c>
      <c r="AG18" s="83"/>
      <c r="AH18" s="84"/>
      <c r="AI18" s="82"/>
      <c r="AJ18" s="68"/>
    </row>
    <row r="19" spans="1:36" s="6" customFormat="1" ht="13.5">
      <c r="A19" s="6" t="s">
        <v>85</v>
      </c>
      <c r="B19" s="6" t="s">
        <v>255</v>
      </c>
      <c r="C19" s="6" t="s">
        <v>450</v>
      </c>
      <c r="D19" s="32">
        <v>20</v>
      </c>
      <c r="E19" s="33" t="s">
        <v>255</v>
      </c>
      <c r="F19" s="23">
        <f>VLOOKUP(D19,'Participaciones  Tabla I'!B$5:D$110,3)</f>
        <v>4497</v>
      </c>
      <c r="G19" s="30">
        <f t="shared" si="0"/>
        <v>0.0039032697370305464</v>
      </c>
      <c r="H19" s="30">
        <f t="shared" si="4"/>
        <v>0.00249809263169955</v>
      </c>
      <c r="I19" s="38">
        <f>VLOOKUP(E19,'Participaciones  Tabla I'!$C$5:$AD$110,5,FALSE)</f>
        <v>432755.16</v>
      </c>
      <c r="J19" s="38">
        <f>VLOOKUP(E19,'Participaciones  Tabla I'!$C$5:$AD$110,6,FALSE)</f>
        <v>296476.83</v>
      </c>
      <c r="K19" s="26">
        <f t="shared" si="1"/>
        <v>729231.99</v>
      </c>
      <c r="L19" s="53">
        <f t="shared" si="5"/>
        <v>0.004526775943826902</v>
      </c>
      <c r="M19" s="29">
        <f t="shared" si="6"/>
        <v>0.0014938360614628779</v>
      </c>
      <c r="N19" s="39">
        <f>VLOOKUP(E19,'Participaciones  Tabla I'!$C$5:$AD$110,10,FALSE)</f>
        <v>492564.66</v>
      </c>
      <c r="O19" s="39">
        <f>VLOOKUP(E19,'Participaciones  Tabla I'!$C$5:$AD$110,11,FALSE)</f>
        <v>357216</v>
      </c>
      <c r="P19" s="26">
        <f t="shared" si="2"/>
        <v>849780.6599999999</v>
      </c>
      <c r="Q19" s="34">
        <f t="shared" si="7"/>
        <v>0.004195091556559796</v>
      </c>
      <c r="R19" s="51">
        <f t="shared" si="8"/>
        <v>0.0013843802136647328</v>
      </c>
      <c r="S19" s="39">
        <f>VLOOKUP(E19,'Participaciones  Tabla I'!$C$5:$AD$110,15,FALSE)</f>
        <v>442641.14</v>
      </c>
      <c r="T19" s="39">
        <f>VLOOKUP(E19,'Participaciones  Tabla I'!$C$5:$AD$110,16,FALSE)</f>
        <v>198803</v>
      </c>
      <c r="U19" s="26">
        <f t="shared" si="9"/>
        <v>641444.14</v>
      </c>
      <c r="V19" s="24">
        <f t="shared" si="10"/>
        <v>0.0026103704023952706</v>
      </c>
      <c r="W19" s="24">
        <f t="shared" si="11"/>
        <v>8.875259368143921E-4</v>
      </c>
      <c r="X19" s="24">
        <f t="shared" si="3"/>
        <v>0.003765742211942003</v>
      </c>
      <c r="Y19" s="25">
        <f t="shared" si="12"/>
        <v>1.694583995373901E-4</v>
      </c>
      <c r="Z19" s="24">
        <f t="shared" si="13"/>
        <v>5.220740804790541E-5</v>
      </c>
      <c r="AA19" s="37">
        <f>VLOOKUP(D19,'Participaciones  Tabla I'!$B$5:$Y$110,24,FALSE)</f>
        <v>55.6889639392364</v>
      </c>
      <c r="AB19" s="23">
        <f t="shared" si="14"/>
        <v>5183.632766460962</v>
      </c>
      <c r="AC19" s="35">
        <f t="shared" si="15"/>
        <v>0.003386161439762765</v>
      </c>
      <c r="AD19" s="22">
        <f t="shared" si="16"/>
        <v>8.465403599406914E-5</v>
      </c>
      <c r="AE19" s="22">
        <f t="shared" si="17"/>
        <v>0.0033750000000000004</v>
      </c>
      <c r="AF19" s="70">
        <f t="shared" si="18"/>
        <v>0.006179412475278915</v>
      </c>
      <c r="AG19" s="83"/>
      <c r="AH19" s="84"/>
      <c r="AI19" s="82"/>
      <c r="AJ19" s="68"/>
    </row>
    <row r="20" spans="1:36" s="6" customFormat="1" ht="13.5">
      <c r="A20" s="6" t="s">
        <v>84</v>
      </c>
      <c r="B20" s="6" t="s">
        <v>256</v>
      </c>
      <c r="C20" s="6" t="s">
        <v>449</v>
      </c>
      <c r="D20" s="32">
        <v>21</v>
      </c>
      <c r="E20" s="31" t="s">
        <v>256</v>
      </c>
      <c r="F20" s="23">
        <f>VLOOKUP(D20,'Participaciones  Tabla I'!B$5:D$110,3)</f>
        <v>9406</v>
      </c>
      <c r="G20" s="30">
        <f t="shared" si="0"/>
        <v>0.00816414390627292</v>
      </c>
      <c r="H20" s="30">
        <f t="shared" si="4"/>
        <v>0.005225052100014669</v>
      </c>
      <c r="I20" s="38">
        <f>VLOOKUP(E20,'Participaciones  Tabla I'!$C$5:$AD$110,5,FALSE)</f>
        <v>37901.8</v>
      </c>
      <c r="J20" s="38">
        <f>VLOOKUP(E20,'Participaciones  Tabla I'!$C$5:$AD$110,6,FALSE)</f>
        <v>4460</v>
      </c>
      <c r="K20" s="26">
        <f t="shared" si="1"/>
        <v>42361.80</v>
      </c>
      <c r="L20" s="53">
        <f t="shared" si="5"/>
        <v>2.629648449421514E-4</v>
      </c>
      <c r="M20" s="29">
        <f t="shared" si="6"/>
        <v>8.677839883090996E-5</v>
      </c>
      <c r="N20" s="39">
        <f>VLOOKUP(E20,'Participaciones  Tabla I'!$C$5:$AD$110,10,FALSE)</f>
        <v>105824</v>
      </c>
      <c r="O20" s="39">
        <f>VLOOKUP(E20,'Participaciones  Tabla I'!$C$5:$AD$110,11,FALSE)</f>
        <v>26340</v>
      </c>
      <c r="P20" s="26">
        <f t="shared" si="2"/>
        <v>132164</v>
      </c>
      <c r="Q20" s="34">
        <f t="shared" si="7"/>
        <v>6.524508106376168E-4</v>
      </c>
      <c r="R20" s="51">
        <f t="shared" si="8"/>
        <v>2.1530876751041353E-4</v>
      </c>
      <c r="S20" s="39">
        <f>VLOOKUP(E20,'Participaciones  Tabla I'!$C$5:$AD$110,15,FALSE)</f>
        <v>79070</v>
      </c>
      <c r="T20" s="39">
        <f>VLOOKUP(E20,'Participaciones  Tabla I'!$C$5:$AD$110,16,FALSE)</f>
        <v>44810</v>
      </c>
      <c r="U20" s="26">
        <f t="shared" si="9"/>
        <v>123880</v>
      </c>
      <c r="V20" s="24">
        <f t="shared" si="10"/>
        <v>5.041322623178475E-4</v>
      </c>
      <c r="W20" s="24">
        <f t="shared" si="11"/>
        <v>1.7140496918806815E-4</v>
      </c>
      <c r="X20" s="24">
        <f t="shared" si="3"/>
        <v>4.734921355293917E-4</v>
      </c>
      <c r="Y20" s="25">
        <f t="shared" si="12"/>
        <v>2.1307146098822626E-5</v>
      </c>
      <c r="Z20" s="24">
        <f t="shared" si="13"/>
        <v>1.008264524635695E-5</v>
      </c>
      <c r="AA20" s="37">
        <f>VLOOKUP(D20,'Participaciones  Tabla I'!$B$5:$Y$110,24,FALSE)</f>
        <v>50.1713292322921</v>
      </c>
      <c r="AB20" s="23">
        <f t="shared" si="14"/>
        <v>18398.648286298398</v>
      </c>
      <c r="AC20" s="35">
        <f t="shared" si="15"/>
        <v>0.012018751361770509</v>
      </c>
      <c r="AD20" s="22">
        <f t="shared" si="16"/>
        <v>3.0046878404426275E-4</v>
      </c>
      <c r="AE20" s="22">
        <f t="shared" si="17"/>
        <v>0.0033750000000000004</v>
      </c>
      <c r="AF20" s="70">
        <f t="shared" si="18"/>
        <v>0.008931910675404112</v>
      </c>
      <c r="AG20" s="83"/>
      <c r="AH20" s="84"/>
      <c r="AI20" s="82"/>
      <c r="AJ20" s="68"/>
    </row>
    <row r="21" spans="1:36" s="6" customFormat="1" ht="13.5">
      <c r="A21" s="6" t="s">
        <v>83</v>
      </c>
      <c r="B21" s="6" t="s">
        <v>258</v>
      </c>
      <c r="C21" s="6" t="s">
        <v>448</v>
      </c>
      <c r="D21" s="32">
        <v>23</v>
      </c>
      <c r="E21" s="31" t="s">
        <v>258</v>
      </c>
      <c r="F21" s="23">
        <f>VLOOKUP(D21,'Participaciones  Tabla I'!B$5:D$110,3)</f>
        <v>4863</v>
      </c>
      <c r="G21" s="30">
        <f t="shared" si="0"/>
        <v>0.004220947460791539</v>
      </c>
      <c r="H21" s="30">
        <f t="shared" si="4"/>
        <v>0.002701406374906585</v>
      </c>
      <c r="I21" s="38">
        <f>VLOOKUP(E21,'Participaciones  Tabla I'!$C$5:$AD$110,5,FALSE)</f>
        <v>59091.25</v>
      </c>
      <c r="J21" s="38">
        <f>VLOOKUP(E21,'Participaciones  Tabla I'!$C$5:$AD$110,6,FALSE)</f>
        <v>3735</v>
      </c>
      <c r="K21" s="26">
        <f t="shared" si="1"/>
        <v>62826.25</v>
      </c>
      <c r="L21" s="53">
        <f t="shared" si="5"/>
        <v>3.899998368706438E-4</v>
      </c>
      <c r="M21" s="29">
        <f t="shared" si="6"/>
        <v>1.2869994616731246E-4</v>
      </c>
      <c r="N21" s="39">
        <f>VLOOKUP(E21,'Participaciones  Tabla I'!$C$5:$AD$110,10,FALSE)</f>
        <v>175307.66</v>
      </c>
      <c r="O21" s="39">
        <f>VLOOKUP(E21,'Participaciones  Tabla I'!$C$5:$AD$110,11,FALSE)</f>
        <v>31122</v>
      </c>
      <c r="P21" s="26">
        <f t="shared" si="2"/>
        <v>206429.66</v>
      </c>
      <c r="Q21" s="34">
        <f t="shared" si="7"/>
        <v>0.0010190762916274297</v>
      </c>
      <c r="R21" s="51">
        <f t="shared" si="8"/>
        <v>3.362951762370518E-4</v>
      </c>
      <c r="S21" s="39">
        <f>VLOOKUP(E21,'Participaciones  Tabla I'!$C$5:$AD$110,15,FALSE)</f>
        <v>224396.58</v>
      </c>
      <c r="T21" s="39">
        <f>VLOOKUP(E21,'Participaciones  Tabla I'!$C$5:$AD$110,16,FALSE)</f>
        <v>22450</v>
      </c>
      <c r="U21" s="26">
        <f t="shared" si="9"/>
        <v>246846.58</v>
      </c>
      <c r="V21" s="24">
        <f t="shared" si="10"/>
        <v>0.0010045473427576972</v>
      </c>
      <c r="W21" s="24">
        <f t="shared" si="11"/>
        <v>3.4154609653761706E-4</v>
      </c>
      <c r="X21" s="24">
        <f t="shared" si="3"/>
        <v>8.065412189419813E-4</v>
      </c>
      <c r="Y21" s="25">
        <f t="shared" si="12"/>
        <v>3.629435485238916E-5</v>
      </c>
      <c r="Z21" s="24">
        <f t="shared" si="13"/>
        <v>2.0090946855153944E-5</v>
      </c>
      <c r="AA21" s="37">
        <f>VLOOKUP(D21,'Participaciones  Tabla I'!$B$5:$Y$110,24,FALSE)</f>
        <v>54.8270678530427</v>
      </c>
      <c r="AB21" s="23">
        <f t="shared" si="14"/>
        <v>6215.784090863124</v>
      </c>
      <c r="AC21" s="35">
        <f t="shared" si="15"/>
        <v>0.004060405000630763</v>
      </c>
      <c r="AD21" s="22">
        <f t="shared" si="16"/>
        <v>1.0151012501576908E-4</v>
      </c>
      <c r="AE21" s="22">
        <f t="shared" si="17"/>
        <v>0.0033750000000000004</v>
      </c>
      <c r="AF21" s="70">
        <f t="shared" si="18"/>
        <v>0.006234301801629897</v>
      </c>
      <c r="AG21" s="83"/>
      <c r="AH21" s="84"/>
      <c r="AI21" s="82"/>
      <c r="AJ21" s="68"/>
    </row>
    <row r="22" spans="1:36" s="6" customFormat="1" ht="13.5">
      <c r="A22" s="6" t="s">
        <v>82</v>
      </c>
      <c r="B22" s="6" t="s">
        <v>259</v>
      </c>
      <c r="C22" s="6" t="s">
        <v>447</v>
      </c>
      <c r="D22" s="32">
        <v>24</v>
      </c>
      <c r="E22" s="31" t="s">
        <v>259</v>
      </c>
      <c r="F22" s="23">
        <f>VLOOKUP(D22,'Participaciones  Tabla I'!B$5:D$110,3)</f>
        <v>3244</v>
      </c>
      <c r="G22" s="30">
        <f t="shared" si="0"/>
        <v>0.002815700917706714</v>
      </c>
      <c r="H22" s="30">
        <f t="shared" si="4"/>
        <v>0.001802048587332297</v>
      </c>
      <c r="I22" s="38">
        <f>VLOOKUP(E22,'Participaciones  Tabla I'!$C$5:$AD$110,5,FALSE)</f>
        <v>3900</v>
      </c>
      <c r="J22" s="38">
        <f>VLOOKUP(E22,'Participaciones  Tabla I'!$C$5:$AD$110,6,FALSE)</f>
        <v>0</v>
      </c>
      <c r="K22" s="26">
        <f t="shared" si="1"/>
        <v>3900</v>
      </c>
      <c r="L22" s="53">
        <f t="shared" si="5"/>
        <v>2.4209615627154426E-5</v>
      </c>
      <c r="M22" s="29">
        <f t="shared" si="6"/>
        <v>7.98917315696096E-6</v>
      </c>
      <c r="N22" s="39">
        <f>VLOOKUP(E22,'Participaciones  Tabla I'!$C$5:$AD$110,10,FALSE)</f>
        <v>0</v>
      </c>
      <c r="O22" s="39">
        <f>VLOOKUP(E22,'Participaciones  Tabla I'!$C$5:$AD$110,11,FALSE)</f>
        <v>0</v>
      </c>
      <c r="P22" s="26">
        <f t="shared" si="2"/>
        <v>0</v>
      </c>
      <c r="Q22" s="34">
        <f t="shared" si="7"/>
        <v>0</v>
      </c>
      <c r="R22" s="51">
        <f t="shared" si="8"/>
        <v>0</v>
      </c>
      <c r="S22" s="39">
        <f>VLOOKUP(E22,'Participaciones  Tabla I'!$C$5:$AD$110,15,FALSE)</f>
        <v>0</v>
      </c>
      <c r="T22" s="39">
        <f>VLOOKUP(E22,'Participaciones  Tabla I'!$C$5:$AD$110,16,FALSE)</f>
        <v>0</v>
      </c>
      <c r="U22" s="26">
        <f t="shared" si="9"/>
        <v>0</v>
      </c>
      <c r="V22" s="24">
        <f t="shared" si="10"/>
        <v>0</v>
      </c>
      <c r="W22" s="24">
        <f t="shared" si="11"/>
        <v>0</v>
      </c>
      <c r="X22" s="24">
        <f t="shared" si="3"/>
        <v>7.98917315696096E-6</v>
      </c>
      <c r="Y22" s="25">
        <f t="shared" si="12"/>
        <v>3.595127920632432E-7</v>
      </c>
      <c r="Z22" s="24">
        <f t="shared" si="13"/>
        <v>0</v>
      </c>
      <c r="AA22" s="37">
        <f>VLOOKUP(D22,'Participaciones  Tabla I'!$B$5:$Y$110,24,FALSE)</f>
        <v>51.2264456097306</v>
      </c>
      <c r="AB22" s="23">
        <f t="shared" si="14"/>
        <v>5847.081360360137</v>
      </c>
      <c r="AC22" s="35">
        <f t="shared" si="15"/>
        <v>0.0038195532611243707</v>
      </c>
      <c r="AD22" s="22">
        <f t="shared" si="16"/>
        <v>9.548883152810927E-5</v>
      </c>
      <c r="AE22" s="22">
        <f t="shared" si="17"/>
        <v>0.0033750000000000004</v>
      </c>
      <c r="AF22" s="70">
        <f t="shared" si="18"/>
        <v>0.00527289693165247</v>
      </c>
      <c r="AG22" s="83"/>
      <c r="AH22" s="84"/>
      <c r="AI22" s="82"/>
      <c r="AJ22" s="68"/>
    </row>
    <row r="23" spans="1:36" s="6" customFormat="1" ht="13.5">
      <c r="A23" s="6" t="s">
        <v>81</v>
      </c>
      <c r="B23" s="6" t="s">
        <v>260</v>
      </c>
      <c r="C23" s="6" t="s">
        <v>446</v>
      </c>
      <c r="D23" s="32">
        <v>25</v>
      </c>
      <c r="E23" s="31" t="s">
        <v>260</v>
      </c>
      <c r="F23" s="23">
        <f>VLOOKUP(D23,'Participaciones  Tabla I'!B$5:D$110,3)</f>
        <v>6003</v>
      </c>
      <c r="G23" s="30">
        <f t="shared" si="0"/>
        <v>0.005210435452833972</v>
      </c>
      <c r="H23" s="30">
        <f t="shared" si="4"/>
        <v>0.003334678689813742</v>
      </c>
      <c r="I23" s="38">
        <f>VLOOKUP(E23,'Participaciones  Tabla I'!$C$5:$AD$110,5,FALSE)</f>
        <v>10850.04</v>
      </c>
      <c r="J23" s="38">
        <f>VLOOKUP(E23,'Participaciones  Tabla I'!$C$5:$AD$110,6,FALSE)</f>
        <v>2760</v>
      </c>
      <c r="K23" s="26">
        <f t="shared" si="1"/>
        <v>13610.04</v>
      </c>
      <c r="L23" s="53">
        <f t="shared" si="5"/>
        <v>8.448559924876842E-5</v>
      </c>
      <c r="M23" s="29">
        <f t="shared" si="6"/>
        <v>2.788024775209358E-5</v>
      </c>
      <c r="N23" s="39">
        <f>VLOOKUP(E23,'Participaciones  Tabla I'!$C$5:$AD$110,10,FALSE)</f>
        <v>14875</v>
      </c>
      <c r="O23" s="39">
        <f>VLOOKUP(E23,'Participaciones  Tabla I'!$C$5:$AD$110,11,FALSE)</f>
        <v>16040</v>
      </c>
      <c r="P23" s="26">
        <f t="shared" si="2"/>
        <v>30915</v>
      </c>
      <c r="Q23" s="34">
        <f t="shared" si="7"/>
        <v>1.526173300661445E-4</v>
      </c>
      <c r="R23" s="51">
        <f t="shared" si="8"/>
        <v>5.036371892182769E-5</v>
      </c>
      <c r="S23" s="39">
        <f>VLOOKUP(E23,'Participaciones  Tabla I'!$C$5:$AD$110,15,FALSE)</f>
        <v>2260</v>
      </c>
      <c r="T23" s="39">
        <f>VLOOKUP(E23,'Participaciones  Tabla I'!$C$5:$AD$110,16,FALSE)</f>
        <v>0</v>
      </c>
      <c r="U23" s="26">
        <f t="shared" si="9"/>
        <v>2260</v>
      </c>
      <c r="V23" s="24">
        <f t="shared" si="10"/>
        <v>9.197117475285239E-6</v>
      </c>
      <c r="W23" s="24">
        <f t="shared" si="11"/>
        <v>3.1270199415969813E-6</v>
      </c>
      <c r="X23" s="24">
        <f t="shared" si="3"/>
        <v>8.137098661551825E-5</v>
      </c>
      <c r="Y23" s="25">
        <f t="shared" si="12"/>
        <v>3.661694397698321E-6</v>
      </c>
      <c r="Z23" s="24">
        <f t="shared" si="13"/>
        <v>1.8394234950570478E-7</v>
      </c>
      <c r="AA23" s="37">
        <f>VLOOKUP(D23,'Participaciones  Tabla I'!$B$5:$Y$110,24,FALSE)</f>
        <v>54.9583229625714</v>
      </c>
      <c r="AB23" s="23">
        <f t="shared" si="14"/>
        <v>7558.186264427564</v>
      </c>
      <c r="AC23" s="35">
        <f t="shared" si="15"/>
        <v>0.00493731713572421</v>
      </c>
      <c r="AD23" s="22">
        <f t="shared" si="16"/>
        <v>1.2343292839310524E-4</v>
      </c>
      <c r="AE23" s="22">
        <f t="shared" si="17"/>
        <v>0.0033750000000000004</v>
      </c>
      <c r="AF23" s="70">
        <f t="shared" si="18"/>
        <v>0.006836957254954052</v>
      </c>
      <c r="AG23" s="83"/>
      <c r="AH23" s="84"/>
      <c r="AI23" s="82"/>
      <c r="AJ23" s="68"/>
    </row>
    <row r="24" spans="1:36" s="6" customFormat="1" ht="13.5">
      <c r="A24" s="6" t="s">
        <v>80</v>
      </c>
      <c r="B24" s="6" t="s">
        <v>261</v>
      </c>
      <c r="C24" s="6" t="s">
        <v>445</v>
      </c>
      <c r="D24" s="32">
        <v>26</v>
      </c>
      <c r="E24" s="33" t="s">
        <v>261</v>
      </c>
      <c r="F24" s="23">
        <f>VLOOKUP(D24,'Participaciones  Tabla I'!B$5:D$110,3)</f>
        <v>3622</v>
      </c>
      <c r="G24" s="30">
        <f t="shared" si="0"/>
        <v>0.0031437943045418367</v>
      </c>
      <c r="H24" s="30">
        <f t="shared" si="4"/>
        <v>0.0020120283549067757</v>
      </c>
      <c r="I24" s="38">
        <f>VLOOKUP(E24,'Participaciones  Tabla I'!$C$5:$AD$110,5,FALSE)</f>
        <v>4932175.89</v>
      </c>
      <c r="J24" s="38">
        <f>VLOOKUP(E24,'Participaciones  Tabla I'!$C$5:$AD$110,6,FALSE)</f>
        <v>0</v>
      </c>
      <c r="K24" s="26">
        <f t="shared" si="1"/>
        <v>4932175.89</v>
      </c>
      <c r="L24" s="53">
        <f t="shared" si="5"/>
        <v>0.0306169442313893</v>
      </c>
      <c r="M24" s="29">
        <f t="shared" si="6"/>
        <v>0.01010359159635847</v>
      </c>
      <c r="N24" s="39">
        <f>VLOOKUP(E24,'Participaciones  Tabla I'!$C$5:$AD$110,10,FALSE)</f>
        <v>1.042415526E7</v>
      </c>
      <c r="O24" s="39">
        <f>VLOOKUP(E24,'Participaciones  Tabla I'!$C$5:$AD$110,11,FALSE)</f>
        <v>0</v>
      </c>
      <c r="P24" s="26">
        <f t="shared" si="2"/>
        <v>1.042415526E7</v>
      </c>
      <c r="Q24" s="34">
        <f t="shared" si="7"/>
        <v>0.05146067423503659</v>
      </c>
      <c r="R24" s="51">
        <f t="shared" si="8"/>
        <v>0.016982022497562078</v>
      </c>
      <c r="S24" s="39">
        <f>VLOOKUP(E24,'Participaciones  Tabla I'!$C$5:$AD$110,15,FALSE)</f>
        <v>1.548107019E7</v>
      </c>
      <c r="T24" s="39">
        <f>VLOOKUP(E24,'Participaciones  Tabla I'!$C$5:$AD$110,16,FALSE)</f>
        <v>0</v>
      </c>
      <c r="U24" s="26">
        <f t="shared" si="9"/>
        <v>1.548107019E7</v>
      </c>
      <c r="V24" s="24">
        <f t="shared" si="10"/>
        <v>0.06300054034538334</v>
      </c>
      <c r="W24" s="24">
        <f t="shared" si="11"/>
        <v>0.021420183717430336</v>
      </c>
      <c r="X24" s="24">
        <f t="shared" si="3"/>
        <v>0.04850579781135088</v>
      </c>
      <c r="Y24" s="25">
        <f t="shared" si="12"/>
        <v>0.0021827609015107894</v>
      </c>
      <c r="Z24" s="24">
        <f t="shared" si="13"/>
        <v>0.0012600108069076668</v>
      </c>
      <c r="AA24" s="37">
        <f>VLOOKUP(D24,'Participaciones  Tabla I'!$B$5:$Y$110,24,FALSE)</f>
        <v>55.0888696794745</v>
      </c>
      <c r="AB24" s="23">
        <f t="shared" si="14"/>
        <v>4491.499401449349</v>
      </c>
      <c r="AC24" s="35">
        <f t="shared" si="15"/>
        <v>0.0029340315499025937</v>
      </c>
      <c r="AD24" s="22">
        <f t="shared" si="16"/>
        <v>7.335078874756484E-5</v>
      </c>
      <c r="AE24" s="22">
        <f t="shared" si="17"/>
        <v>0.0033750000000000004</v>
      </c>
      <c r="AF24" s="70">
        <f t="shared" si="18"/>
        <v>0.008903150852072796</v>
      </c>
      <c r="AG24" s="83"/>
      <c r="AH24" s="84"/>
      <c r="AI24" s="82"/>
      <c r="AJ24" s="68"/>
    </row>
    <row r="25" spans="1:36" s="6" customFormat="1" ht="13.5">
      <c r="A25" s="6" t="s">
        <v>79</v>
      </c>
      <c r="B25" s="6" t="s">
        <v>262</v>
      </c>
      <c r="C25" s="6" t="s">
        <v>444</v>
      </c>
      <c r="D25" s="32">
        <v>27</v>
      </c>
      <c r="E25" s="31" t="s">
        <v>262</v>
      </c>
      <c r="F25" s="23">
        <f>VLOOKUP(D25,'Participaciones  Tabla I'!B$5:D$110,3)</f>
        <v>8345</v>
      </c>
      <c r="G25" s="30">
        <f t="shared" si="0"/>
        <v>0.0072432256961351815</v>
      </c>
      <c r="H25" s="30">
        <f t="shared" si="4"/>
        <v>0.004635664445526516</v>
      </c>
      <c r="I25" s="38">
        <f>VLOOKUP(E25,'Participaciones  Tabla I'!$C$5:$AD$110,5,FALSE)</f>
        <v>1365392.40</v>
      </c>
      <c r="J25" s="38">
        <f>VLOOKUP(E25,'Participaciones  Tabla I'!$C$5:$AD$110,6,FALSE)</f>
        <v>19050</v>
      </c>
      <c r="K25" s="26">
        <f t="shared" si="1"/>
        <v>1384442.40</v>
      </c>
      <c r="L25" s="53">
        <f t="shared" si="5"/>
        <v>0.00859405599023979</v>
      </c>
      <c r="M25" s="29">
        <f t="shared" si="6"/>
        <v>0.0028360384767791304</v>
      </c>
      <c r="N25" s="39">
        <f>VLOOKUP(E25,'Participaciones  Tabla I'!$C$5:$AD$110,10,FALSE)</f>
        <v>935822.62</v>
      </c>
      <c r="O25" s="39">
        <f>VLOOKUP(E25,'Participaciones  Tabla I'!$C$5:$AD$110,11,FALSE)</f>
        <v>20060</v>
      </c>
      <c r="P25" s="26">
        <f t="shared" si="2"/>
        <v>955882.62</v>
      </c>
      <c r="Q25" s="34">
        <f t="shared" si="7"/>
        <v>0.004718882526962024</v>
      </c>
      <c r="R25" s="51">
        <f t="shared" si="8"/>
        <v>0.001557231233897468</v>
      </c>
      <c r="S25" s="39">
        <f>VLOOKUP(E25,'Participaciones  Tabla I'!$C$5:$AD$110,15,FALSE)</f>
        <v>1221852.23</v>
      </c>
      <c r="T25" s="39">
        <f>VLOOKUP(E25,'Participaciones  Tabla I'!$C$5:$AD$110,16,FALSE)</f>
        <v>8649.92</v>
      </c>
      <c r="U25" s="26">
        <f t="shared" si="9"/>
        <v>1230502.15</v>
      </c>
      <c r="V25" s="24">
        <f t="shared" si="10"/>
        <v>0.005007554348292503</v>
      </c>
      <c r="W25" s="24">
        <f t="shared" si="11"/>
        <v>0.0017025684784194512</v>
      </c>
      <c r="X25" s="24">
        <f t="shared" si="3"/>
        <v>0.00609583818909605</v>
      </c>
      <c r="Y25" s="25">
        <f t="shared" si="12"/>
        <v>2.743127185093222E-4</v>
      </c>
      <c r="Z25" s="24">
        <f t="shared" si="13"/>
        <v>1.0015108696585007E-4</v>
      </c>
      <c r="AA25" s="37">
        <f>VLOOKUP(D25,'Participaciones  Tabla I'!$B$5:$Y$110,24,FALSE)</f>
        <v>56.7109714416638</v>
      </c>
      <c r="AB25" s="23">
        <f t="shared" si="14"/>
        <v>8377.399947292342</v>
      </c>
      <c r="AC25" s="35">
        <f t="shared" si="15"/>
        <v>0.0054724610991992014</v>
      </c>
      <c r="AD25" s="22">
        <f t="shared" si="16"/>
        <v>1.3681152747998005E-4</v>
      </c>
      <c r="AE25" s="22">
        <f t="shared" si="17"/>
        <v>0.0033750000000000004</v>
      </c>
      <c r="AF25" s="70">
        <f t="shared" si="18"/>
        <v>0.008521939778481669</v>
      </c>
      <c r="AG25" s="83"/>
      <c r="AH25" s="84"/>
      <c r="AI25" s="82"/>
      <c r="AJ25" s="68"/>
    </row>
    <row r="26" spans="1:36" s="6" customFormat="1" ht="13.5">
      <c r="A26" s="6" t="s">
        <v>78</v>
      </c>
      <c r="B26" s="6" t="s">
        <v>263</v>
      </c>
      <c r="C26" s="6" t="s">
        <v>443</v>
      </c>
      <c r="D26" s="32">
        <v>28</v>
      </c>
      <c r="E26" s="31" t="s">
        <v>263</v>
      </c>
      <c r="F26" s="23">
        <f>VLOOKUP(D26,'Participaciones  Tabla I'!B$5:D$110,3)</f>
        <v>2936</v>
      </c>
      <c r="G26" s="30">
        <f t="shared" si="0"/>
        <v>0.002548365565470688</v>
      </c>
      <c r="H26" s="30">
        <f t="shared" si="4"/>
        <v>0.0016309539619012404</v>
      </c>
      <c r="I26" s="38">
        <f>VLOOKUP(E26,'Participaciones  Tabla I'!$C$5:$AD$110,5,FALSE)</f>
        <v>0</v>
      </c>
      <c r="J26" s="38">
        <f>VLOOKUP(E26,'Participaciones  Tabla I'!$C$5:$AD$110,6,FALSE)</f>
        <v>5885.50</v>
      </c>
      <c r="K26" s="26">
        <f t="shared" si="1"/>
        <v>5885.50</v>
      </c>
      <c r="L26" s="53">
        <f t="shared" si="5"/>
        <v>3.6534793018876247E-5</v>
      </c>
      <c r="M26" s="29">
        <f t="shared" si="6"/>
        <v>1.2056481696229162E-5</v>
      </c>
      <c r="N26" s="39">
        <f>VLOOKUP(E26,'Participaciones  Tabla I'!$C$5:$AD$110,10,FALSE)</f>
        <v>441744.70</v>
      </c>
      <c r="O26" s="39">
        <f>VLOOKUP(E26,'Participaciones  Tabla I'!$C$5:$AD$110,11,FALSE)</f>
        <v>12647</v>
      </c>
      <c r="P26" s="26">
        <f t="shared" si="2"/>
        <v>454391.70</v>
      </c>
      <c r="Q26" s="34">
        <f t="shared" si="7"/>
        <v>0.0022431844754396413</v>
      </c>
      <c r="R26" s="51">
        <f t="shared" si="8"/>
        <v>7.402508768950816E-4</v>
      </c>
      <c r="S26" s="39">
        <f>VLOOKUP(E26,'Participaciones  Tabla I'!$C$5:$AD$110,15,FALSE)</f>
        <v>15486</v>
      </c>
      <c r="T26" s="39">
        <f>VLOOKUP(E26,'Participaciones  Tabla I'!$C$5:$AD$110,16,FALSE)</f>
        <v>0</v>
      </c>
      <c r="U26" s="26">
        <f t="shared" si="9"/>
        <v>15486</v>
      </c>
      <c r="V26" s="24">
        <f t="shared" si="10"/>
        <v>6.30206023107377E-5</v>
      </c>
      <c r="W26" s="24">
        <f t="shared" si="11"/>
        <v>2.1427004785650822E-5</v>
      </c>
      <c r="X26" s="24">
        <f t="shared" si="3"/>
        <v>7.737343633769615E-4</v>
      </c>
      <c r="Y26" s="25">
        <f t="shared" si="12"/>
        <v>3.481804635196327E-5</v>
      </c>
      <c r="Z26" s="24">
        <f t="shared" si="13"/>
        <v>1.260412046214754E-6</v>
      </c>
      <c r="AA26" s="37">
        <f>VLOOKUP(D26,'Participaciones  Tabla I'!$B$5:$Y$110,24,FALSE)</f>
        <v>54.9039494576125</v>
      </c>
      <c r="AB26" s="23">
        <f t="shared" si="14"/>
        <v>3719.867839540674</v>
      </c>
      <c r="AC26" s="35">
        <f t="shared" si="15"/>
        <v>0.002429970178590798</v>
      </c>
      <c r="AD26" s="22">
        <f t="shared" si="16"/>
        <v>6.074925446476995E-5</v>
      </c>
      <c r="AE26" s="22">
        <f t="shared" si="17"/>
        <v>0.0033750000000000004</v>
      </c>
      <c r="AF26" s="70">
        <f t="shared" si="18"/>
        <v>0.005102781674764189</v>
      </c>
      <c r="AG26" s="83"/>
      <c r="AH26" s="84"/>
      <c r="AI26" s="82"/>
      <c r="AJ26" s="68"/>
    </row>
    <row r="27" spans="1:36" s="6" customFormat="1" ht="13.5">
      <c r="A27" s="6" t="s">
        <v>77</v>
      </c>
      <c r="B27" s="6" t="s">
        <v>264</v>
      </c>
      <c r="C27" s="6" t="s">
        <v>442</v>
      </c>
      <c r="D27" s="32">
        <v>29</v>
      </c>
      <c r="E27" s="31" t="s">
        <v>264</v>
      </c>
      <c r="F27" s="23">
        <f>VLOOKUP(D27,'Participaciones  Tabla I'!B$5:D$110,3)</f>
        <v>6240</v>
      </c>
      <c r="G27" s="30">
        <f t="shared" si="0"/>
        <v>0.005416144798548056</v>
      </c>
      <c r="H27" s="30">
        <f t="shared" si="4"/>
        <v>0.003466332671070756</v>
      </c>
      <c r="I27" s="38">
        <f>VLOOKUP(E27,'Participaciones  Tabla I'!$C$5:$AD$110,5,FALSE)</f>
        <v>0</v>
      </c>
      <c r="J27" s="38">
        <f>VLOOKUP(E27,'Participaciones  Tabla I'!$C$5:$AD$110,6,FALSE)</f>
        <v>0</v>
      </c>
      <c r="K27" s="26">
        <f t="shared" si="1"/>
        <v>0</v>
      </c>
      <c r="L27" s="53">
        <f t="shared" si="5"/>
        <v>0</v>
      </c>
      <c r="M27" s="29">
        <f t="shared" si="6"/>
        <v>0</v>
      </c>
      <c r="N27" s="39">
        <f>VLOOKUP(E27,'Participaciones  Tabla I'!$C$5:$AD$110,10,FALSE)</f>
        <v>0</v>
      </c>
      <c r="O27" s="39">
        <f>VLOOKUP(E27,'Participaciones  Tabla I'!$C$5:$AD$110,11,FALSE)</f>
        <v>0</v>
      </c>
      <c r="P27" s="26">
        <f t="shared" si="2"/>
        <v>0</v>
      </c>
      <c r="Q27" s="34">
        <f t="shared" si="7"/>
        <v>0</v>
      </c>
      <c r="R27" s="51">
        <f t="shared" si="8"/>
        <v>0</v>
      </c>
      <c r="S27" s="39">
        <f>VLOOKUP(E27,'Participaciones  Tabla I'!$C$5:$AD$110,15,FALSE)</f>
        <v>6950</v>
      </c>
      <c r="T27" s="39">
        <f>VLOOKUP(E27,'Participaciones  Tabla I'!$C$5:$AD$110,16,FALSE)</f>
        <v>0</v>
      </c>
      <c r="U27" s="26">
        <f t="shared" si="9"/>
        <v>6950</v>
      </c>
      <c r="V27" s="24">
        <f t="shared" si="10"/>
        <v>2.828317099700549E-5</v>
      </c>
      <c r="W27" s="24">
        <f t="shared" si="11"/>
        <v>9.616278138981867E-6</v>
      </c>
      <c r="X27" s="24">
        <f t="shared" si="3"/>
        <v>9.616278138981867E-6</v>
      </c>
      <c r="Y27" s="25">
        <f t="shared" si="12"/>
        <v>4.32732516254184E-7</v>
      </c>
      <c r="Z27" s="24">
        <f t="shared" si="13"/>
        <v>5.656634199401098E-7</v>
      </c>
      <c r="AA27" s="37">
        <f>VLOOKUP(D27,'Participaciones  Tabla I'!$B$5:$Y$110,24,FALSE)</f>
        <v>55.4621829769392</v>
      </c>
      <c r="AB27" s="23">
        <f t="shared" si="14"/>
        <v>7398.806429399749</v>
      </c>
      <c r="AC27" s="35">
        <f t="shared" si="15"/>
        <v>0.004833203693286928</v>
      </c>
      <c r="AD27" s="22">
        <f t="shared" si="16"/>
        <v>1.208300923321732E-4</v>
      </c>
      <c r="AE27" s="22">
        <f t="shared" si="17"/>
        <v>0.0033750000000000004</v>
      </c>
      <c r="AF27" s="70">
        <f t="shared" si="18"/>
        <v>0.006963161159339124</v>
      </c>
      <c r="AG27" s="83"/>
      <c r="AH27" s="84"/>
      <c r="AI27" s="82"/>
      <c r="AJ27" s="68"/>
    </row>
    <row r="28" spans="1:36" s="6" customFormat="1" ht="13.5">
      <c r="A28" s="6" t="s">
        <v>76</v>
      </c>
      <c r="B28" s="6" t="s">
        <v>265</v>
      </c>
      <c r="C28" s="6" t="s">
        <v>441</v>
      </c>
      <c r="D28" s="32">
        <v>30</v>
      </c>
      <c r="E28" s="31" t="s">
        <v>265</v>
      </c>
      <c r="F28" s="23">
        <f>VLOOKUP(D28,'Participaciones  Tabla I'!B$5:D$110,3)</f>
        <v>4015</v>
      </c>
      <c r="G28" s="30">
        <f t="shared" si="0"/>
        <v>0.003484907270219623</v>
      </c>
      <c r="H28" s="30">
        <f t="shared" si="4"/>
        <v>0.0022303406529405588</v>
      </c>
      <c r="I28" s="38">
        <f>VLOOKUP(E28,'Participaciones  Tabla I'!$C$5:$AD$110,5,FALSE)</f>
        <v>3000</v>
      </c>
      <c r="J28" s="38">
        <f>VLOOKUP(E28,'Participaciones  Tabla I'!$C$5:$AD$110,6,FALSE)</f>
        <v>1230</v>
      </c>
      <c r="K28" s="26">
        <f t="shared" si="1"/>
        <v>4230</v>
      </c>
      <c r="L28" s="53">
        <f t="shared" si="5"/>
        <v>2.6258121564836724E-5</v>
      </c>
      <c r="M28" s="29">
        <f t="shared" si="6"/>
        <v>8.66518011639612E-6</v>
      </c>
      <c r="N28" s="39">
        <f>VLOOKUP(E28,'Participaciones  Tabla I'!$C$5:$AD$110,10,FALSE)</f>
        <v>34205</v>
      </c>
      <c r="O28" s="39">
        <f>VLOOKUP(E28,'Participaciones  Tabla I'!$C$5:$AD$110,11,FALSE)</f>
        <v>7430</v>
      </c>
      <c r="P28" s="26">
        <f t="shared" si="2"/>
        <v>41635</v>
      </c>
      <c r="Q28" s="34">
        <f t="shared" si="7"/>
        <v>2.0553849384777377E-4</v>
      </c>
      <c r="R28" s="51">
        <f t="shared" si="8"/>
        <v>6.782770296976535E-5</v>
      </c>
      <c r="S28" s="39">
        <f>VLOOKUP(E28,'Participaciones  Tabla I'!$C$5:$AD$110,15,FALSE)</f>
        <v>53238</v>
      </c>
      <c r="T28" s="39">
        <f>VLOOKUP(E28,'Participaciones  Tabla I'!$C$5:$AD$110,16,FALSE)</f>
        <v>9010</v>
      </c>
      <c r="U28" s="26">
        <f t="shared" si="9"/>
        <v>62248</v>
      </c>
      <c r="V28" s="24">
        <f t="shared" si="10"/>
        <v>2.533195436290069E-4</v>
      </c>
      <c r="W28" s="24">
        <f t="shared" si="11"/>
        <v>8.612864483386234E-5</v>
      </c>
      <c r="X28" s="24">
        <f t="shared" si="3"/>
        <v>1.6262152792002383E-4</v>
      </c>
      <c r="Y28" s="25">
        <f t="shared" si="12"/>
        <v>7.3179687564010725E-6</v>
      </c>
      <c r="Z28" s="24">
        <f t="shared" si="13"/>
        <v>5.066390872580138E-6</v>
      </c>
      <c r="AA28" s="37">
        <f>VLOOKUP(D28,'Participaciones  Tabla I'!$B$5:$Y$110,24,FALSE)</f>
        <v>49.2620186668522</v>
      </c>
      <c r="AB28" s="23">
        <f t="shared" si="14"/>
        <v>8385.127079656872</v>
      </c>
      <c r="AC28" s="35">
        <f t="shared" si="15"/>
        <v>0.005477508778853903</v>
      </c>
      <c r="AD28" s="22">
        <f t="shared" si="16"/>
        <v>1.3693771947134758E-4</v>
      </c>
      <c r="AE28" s="22">
        <f t="shared" si="17"/>
        <v>0.0033750000000000004</v>
      </c>
      <c r="AF28" s="70">
        <f t="shared" si="18"/>
        <v>0.005754662732040889</v>
      </c>
      <c r="AG28" s="83"/>
      <c r="AH28" s="84"/>
      <c r="AI28" s="82"/>
      <c r="AJ28" s="68"/>
    </row>
    <row r="29" spans="1:36" s="6" customFormat="1" ht="13.5">
      <c r="A29" s="6" t="s">
        <v>75</v>
      </c>
      <c r="B29" s="6" t="s">
        <v>266</v>
      </c>
      <c r="C29" s="6" t="s">
        <v>440</v>
      </c>
      <c r="D29" s="32">
        <v>31</v>
      </c>
      <c r="E29" s="33" t="s">
        <v>266</v>
      </c>
      <c r="F29" s="23">
        <f>VLOOKUP(D29,'Participaciones  Tabla I'!B$5:D$110,3)</f>
        <v>2818</v>
      </c>
      <c r="G29" s="30">
        <f t="shared" si="0"/>
        <v>0.002445944878575068</v>
      </c>
      <c r="H29" s="30">
        <f t="shared" si="4"/>
        <v>0.0015654047222880435</v>
      </c>
      <c r="I29" s="38">
        <f>VLOOKUP(E29,'Participaciones  Tabla I'!$C$5:$AD$110,5,FALSE)</f>
        <v>12800</v>
      </c>
      <c r="J29" s="38">
        <f>VLOOKUP(E29,'Participaciones  Tabla I'!$C$5:$AD$110,6,FALSE)</f>
        <v>0</v>
      </c>
      <c r="K29" s="26">
        <f t="shared" si="1"/>
        <v>12800</v>
      </c>
      <c r="L29" s="53">
        <f t="shared" si="5"/>
        <v>7.945720000707093E-5</v>
      </c>
      <c r="M29" s="29">
        <f t="shared" si="6"/>
        <v>2.622087600233341E-5</v>
      </c>
      <c r="N29" s="39">
        <f>VLOOKUP(E29,'Participaciones  Tabla I'!$C$5:$AD$110,10,FALSE)</f>
        <v>15730</v>
      </c>
      <c r="O29" s="39">
        <f>VLOOKUP(E29,'Participaciones  Tabla I'!$C$5:$AD$110,11,FALSE)</f>
        <v>0</v>
      </c>
      <c r="P29" s="26">
        <f t="shared" si="2"/>
        <v>15730</v>
      </c>
      <c r="Q29" s="34">
        <f t="shared" si="7"/>
        <v>7.765390916837952E-5</v>
      </c>
      <c r="R29" s="51">
        <f t="shared" si="8"/>
        <v>2.5625790025565244E-5</v>
      </c>
      <c r="S29" s="39">
        <f>VLOOKUP(E29,'Participaciones  Tabla I'!$C$5:$AD$110,15,FALSE)</f>
        <v>13405</v>
      </c>
      <c r="T29" s="39">
        <f>VLOOKUP(E29,'Participaciones  Tabla I'!$C$5:$AD$110,16,FALSE)</f>
        <v>0</v>
      </c>
      <c r="U29" s="26">
        <f t="shared" si="9"/>
        <v>13405</v>
      </c>
      <c r="V29" s="24">
        <f t="shared" si="10"/>
        <v>5.455192909566311E-5</v>
      </c>
      <c r="W29" s="24">
        <f t="shared" si="11"/>
        <v>1.854765589252546E-5</v>
      </c>
      <c r="X29" s="24">
        <f t="shared" si="3"/>
        <v>7.03943219204241E-5</v>
      </c>
      <c r="Y29" s="25">
        <f t="shared" si="12"/>
        <v>3.1677444864190848E-6</v>
      </c>
      <c r="Z29" s="24">
        <f t="shared" si="13"/>
        <v>1.0910385819132621E-6</v>
      </c>
      <c r="AA29" s="37">
        <f>VLOOKUP(D29,'Participaciones  Tabla I'!$B$5:$Y$110,24,FALSE)</f>
        <v>51.2622940367818</v>
      </c>
      <c r="AB29" s="23">
        <f t="shared" si="14"/>
        <v>5064.537746873194</v>
      </c>
      <c r="AC29" s="35">
        <f t="shared" si="15"/>
        <v>0.003308363690353287</v>
      </c>
      <c r="AD29" s="22">
        <f t="shared" si="16"/>
        <v>8.270909225883218E-5</v>
      </c>
      <c r="AE29" s="22">
        <f t="shared" si="17"/>
        <v>0.0033750000000000004</v>
      </c>
      <c r="AF29" s="70">
        <f t="shared" si="18"/>
        <v>0.005027372597615208</v>
      </c>
      <c r="AG29" s="83"/>
      <c r="AH29" s="84"/>
      <c r="AI29" s="82"/>
      <c r="AJ29" s="68"/>
    </row>
    <row r="30" spans="1:36" s="6" customFormat="1" ht="13.5">
      <c r="A30" s="6" t="s">
        <v>74</v>
      </c>
      <c r="B30" s="6" t="s">
        <v>267</v>
      </c>
      <c r="C30" s="6" t="s">
        <v>439</v>
      </c>
      <c r="D30" s="32">
        <v>32</v>
      </c>
      <c r="E30" s="31" t="s">
        <v>267</v>
      </c>
      <c r="F30" s="23">
        <f>VLOOKUP(D30,'Participaciones  Tabla I'!B$5:D$110,3)</f>
        <v>16779</v>
      </c>
      <c r="G30" s="30">
        <f t="shared" si="0"/>
        <v>0.0145637008934035</v>
      </c>
      <c r="H30" s="30">
        <f t="shared" si="4"/>
        <v>0.00932076857177824</v>
      </c>
      <c r="I30" s="38">
        <f>VLOOKUP(E30,'Participaciones  Tabla I'!$C$5:$AD$110,5,FALSE)</f>
        <v>186130.50</v>
      </c>
      <c r="J30" s="38">
        <f>VLOOKUP(E30,'Participaciones  Tabla I'!$C$5:$AD$110,6,FALSE)</f>
        <v>93836</v>
      </c>
      <c r="K30" s="26">
        <f t="shared" si="1"/>
        <v>279966.50</v>
      </c>
      <c r="L30" s="53">
        <f t="shared" si="5"/>
        <v>0.0017379182957640332</v>
      </c>
      <c r="M30" s="29">
        <f t="shared" si="6"/>
        <v>5.73513037602131E-4</v>
      </c>
      <c r="N30" s="39">
        <f>VLOOKUP(E30,'Participaciones  Tabla I'!$C$5:$AD$110,10,FALSE)</f>
        <v>5000</v>
      </c>
      <c r="O30" s="39">
        <f>VLOOKUP(E30,'Participaciones  Tabla I'!$C$5:$AD$110,11,FALSE)</f>
        <v>489388</v>
      </c>
      <c r="P30" s="26">
        <f t="shared" si="2"/>
        <v>494388</v>
      </c>
      <c r="Q30" s="34">
        <f t="shared" si="7"/>
        <v>0.0024406332387753855</v>
      </c>
      <c r="R30" s="51">
        <f t="shared" si="8"/>
        <v>8.054089687958773E-4</v>
      </c>
      <c r="S30" s="39">
        <f>VLOOKUP(E30,'Participaciones  Tabla I'!$C$5:$AD$110,15,FALSE)</f>
        <v>0</v>
      </c>
      <c r="T30" s="39">
        <f>VLOOKUP(E30,'Participaciones  Tabla I'!$C$5:$AD$110,16,FALSE)</f>
        <v>442463</v>
      </c>
      <c r="U30" s="26">
        <f t="shared" si="9"/>
        <v>442463</v>
      </c>
      <c r="V30" s="24">
        <f t="shared" si="10"/>
        <v>0.0018006124732155454</v>
      </c>
      <c r="W30" s="24">
        <f t="shared" si="11"/>
        <v>6.122082408932855E-4</v>
      </c>
      <c r="X30" s="24">
        <f t="shared" si="3"/>
        <v>0.001991130247291294</v>
      </c>
      <c r="Y30" s="25">
        <f t="shared" si="12"/>
        <v>8.960086112810823E-5</v>
      </c>
      <c r="Z30" s="24">
        <f t="shared" si="13"/>
        <v>3.601224946431091E-5</v>
      </c>
      <c r="AA30" s="37">
        <f>VLOOKUP(D30,'Participaciones  Tabla I'!$B$5:$Y$110,24,FALSE)</f>
        <v>52.251815023814</v>
      </c>
      <c r="AB30" s="23">
        <f t="shared" si="14"/>
        <v>27737.964456165846</v>
      </c>
      <c r="AC30" s="35">
        <f t="shared" si="15"/>
        <v>0.018119575573850848</v>
      </c>
      <c r="AD30" s="22">
        <f t="shared" si="16"/>
        <v>4.529893893462712E-4</v>
      </c>
      <c r="AE30" s="22">
        <f t="shared" si="17"/>
        <v>0.0033750000000000004</v>
      </c>
      <c r="AF30" s="70">
        <f t="shared" si="18"/>
        <v>0.013274371071716931</v>
      </c>
      <c r="AG30" s="83"/>
      <c r="AH30" s="84"/>
      <c r="AI30" s="82"/>
      <c r="AJ30" s="68"/>
    </row>
    <row r="31" spans="1:36" s="6" customFormat="1" ht="13.5">
      <c r="A31" s="6" t="s">
        <v>73</v>
      </c>
      <c r="B31" s="6" t="s">
        <v>268</v>
      </c>
      <c r="C31" s="6" t="s">
        <v>438</v>
      </c>
      <c r="D31" s="32">
        <v>33</v>
      </c>
      <c r="E31" s="31" t="s">
        <v>268</v>
      </c>
      <c r="F31" s="23">
        <f>VLOOKUP(D31,'Participaciones  Tabla I'!B$5:D$110,3)</f>
        <v>21255</v>
      </c>
      <c r="G31" s="30">
        <f t="shared" si="0"/>
        <v>0.01844874322005432</v>
      </c>
      <c r="H31" s="30">
        <f t="shared" si="4"/>
        <v>0.011807195660834765</v>
      </c>
      <c r="I31" s="38">
        <f>VLOOKUP(E31,'Participaciones  Tabla I'!$C$5:$AD$110,5,FALSE)</f>
        <v>91988</v>
      </c>
      <c r="J31" s="38">
        <f>VLOOKUP(E31,'Participaciones  Tabla I'!$C$5:$AD$110,6,FALSE)</f>
        <v>120669</v>
      </c>
      <c r="K31" s="26">
        <f t="shared" si="1"/>
        <v>212657</v>
      </c>
      <c r="L31" s="53">
        <f t="shared" si="5"/>
        <v>0.0013200882642112252</v>
      </c>
      <c r="M31" s="29">
        <f t="shared" si="6"/>
        <v>4.3562912718970434E-4</v>
      </c>
      <c r="N31" s="39">
        <f>VLOOKUP(E31,'Participaciones  Tabla I'!$C$5:$AD$110,10,FALSE)</f>
        <v>124514</v>
      </c>
      <c r="O31" s="39">
        <f>VLOOKUP(E31,'Participaciones  Tabla I'!$C$5:$AD$110,11,FALSE)</f>
        <v>199661</v>
      </c>
      <c r="P31" s="26">
        <f t="shared" si="2"/>
        <v>324175</v>
      </c>
      <c r="Q31" s="34">
        <f t="shared" si="7"/>
        <v>0.0016003468534430663</v>
      </c>
      <c r="R31" s="51">
        <f t="shared" si="8"/>
        <v>5.281144616362119E-4</v>
      </c>
      <c r="S31" s="39">
        <f>VLOOKUP(E31,'Participaciones  Tabla I'!$C$5:$AD$110,15,FALSE)</f>
        <v>122691.50</v>
      </c>
      <c r="T31" s="39">
        <f>VLOOKUP(E31,'Participaciones  Tabla I'!$C$5:$AD$110,16,FALSE)</f>
        <v>123583</v>
      </c>
      <c r="U31" s="26">
        <f t="shared" si="9"/>
        <v>246274.50</v>
      </c>
      <c r="V31" s="24">
        <f t="shared" si="10"/>
        <v>0.001002219251180148</v>
      </c>
      <c r="W31" s="24">
        <f t="shared" si="11"/>
        <v>3.4075454540125034E-4</v>
      </c>
      <c r="X31" s="24">
        <f t="shared" si="3"/>
        <v>0.0013044981342271666</v>
      </c>
      <c r="Y31" s="25">
        <f t="shared" si="12"/>
        <v>5.870241604022249E-5</v>
      </c>
      <c r="Z31" s="24">
        <f t="shared" si="13"/>
        <v>2.0044385023602962E-5</v>
      </c>
      <c r="AA31" s="37">
        <f>VLOOKUP(D31,'Participaciones  Tabla I'!$B$5:$Y$110,24,FALSE)</f>
        <v>52.1099507305459</v>
      </c>
      <c r="AB31" s="23">
        <f t="shared" si="14"/>
        <v>35576.43139555913</v>
      </c>
      <c r="AC31" s="35">
        <f t="shared" si="15"/>
        <v>0.023239983537308898</v>
      </c>
      <c r="AD31" s="22">
        <f t="shared" si="16"/>
        <v>5.809995884327225E-4</v>
      </c>
      <c r="AE31" s="22">
        <f t="shared" si="17"/>
        <v>0.0033750000000000004</v>
      </c>
      <c r="AF31" s="70">
        <f t="shared" si="18"/>
        <v>0.015841942050331313</v>
      </c>
      <c r="AG31" s="83"/>
      <c r="AH31" s="84"/>
      <c r="AI31" s="82"/>
      <c r="AJ31" s="68"/>
    </row>
    <row r="32" spans="1:36" s="6" customFormat="1" ht="13.5">
      <c r="A32" s="6" t="s">
        <v>72</v>
      </c>
      <c r="B32" s="6" t="s">
        <v>269</v>
      </c>
      <c r="C32" s="6" t="s">
        <v>437</v>
      </c>
      <c r="D32" s="32">
        <v>34</v>
      </c>
      <c r="E32" s="31" t="s">
        <v>269</v>
      </c>
      <c r="F32" s="23">
        <f>VLOOKUP(D32,'Participaciones  Tabla I'!B$5:D$110,3)</f>
        <v>6514</v>
      </c>
      <c r="G32" s="30">
        <f t="shared" si="0"/>
        <v>0.005653969105407378</v>
      </c>
      <c r="H32" s="30">
        <f t="shared" si="4"/>
        <v>0.003618540227460722</v>
      </c>
      <c r="I32" s="38">
        <f>VLOOKUP(E32,'Participaciones  Tabla I'!$C$5:$AD$110,5,FALSE)</f>
        <v>21990</v>
      </c>
      <c r="J32" s="38">
        <f>VLOOKUP(E32,'Participaciones  Tabla I'!$C$5:$AD$110,6,FALSE)</f>
        <v>6320</v>
      </c>
      <c r="K32" s="26">
        <f t="shared" si="1"/>
        <v>28310</v>
      </c>
      <c r="L32" s="53">
        <f t="shared" si="5"/>
        <v>1.7573697907813892E-4</v>
      </c>
      <c r="M32" s="29">
        <f t="shared" si="6"/>
        <v>5.799320309578585E-5</v>
      </c>
      <c r="N32" s="39">
        <f>VLOOKUP(E32,'Participaciones  Tabla I'!$C$5:$AD$110,10,FALSE)</f>
        <v>12531.24</v>
      </c>
      <c r="O32" s="39">
        <f>VLOOKUP(E32,'Participaciones  Tabla I'!$C$5:$AD$110,11,FALSE)</f>
        <v>2720</v>
      </c>
      <c r="P32" s="26">
        <f t="shared" si="2"/>
        <v>15251.24</v>
      </c>
      <c r="Q32" s="34">
        <f t="shared" si="7"/>
        <v>7.529042629784848E-5</v>
      </c>
      <c r="R32" s="51">
        <f t="shared" si="8"/>
        <v>2.484584067829E-5</v>
      </c>
      <c r="S32" s="39">
        <f>VLOOKUP(E32,'Participaciones  Tabla I'!$C$5:$AD$110,15,FALSE)</f>
        <v>15420.24</v>
      </c>
      <c r="T32" s="39">
        <f>VLOOKUP(E32,'Participaciones  Tabla I'!$C$5:$AD$110,16,FALSE)</f>
        <v>395</v>
      </c>
      <c r="U32" s="26">
        <f t="shared" si="9"/>
        <v>15815.24</v>
      </c>
      <c r="V32" s="24">
        <f t="shared" si="10"/>
        <v>6.436045140700448E-5</v>
      </c>
      <c r="W32" s="24">
        <f t="shared" si="11"/>
        <v>2.1882553478381526E-5</v>
      </c>
      <c r="X32" s="24">
        <f t="shared" si="3"/>
        <v>1.0472159725245737E-4</v>
      </c>
      <c r="Y32" s="25">
        <f t="shared" si="12"/>
        <v>4.712471876360581E-6</v>
      </c>
      <c r="Z32" s="24">
        <f t="shared" si="13"/>
        <v>1.2872090281400896E-6</v>
      </c>
      <c r="AA32" s="37">
        <f>VLOOKUP(D32,'Participaciones  Tabla I'!$B$5:$Y$110,24,FALSE)</f>
        <v>50.9666741662071</v>
      </c>
      <c r="AB32" s="23">
        <f t="shared" si="14"/>
        <v>11987.403100481197</v>
      </c>
      <c r="AC32" s="35">
        <f t="shared" si="15"/>
        <v>0.007830663160472122</v>
      </c>
      <c r="AD32" s="22">
        <f t="shared" si="16"/>
        <v>1.9576657901180304E-4</v>
      </c>
      <c r="AE32" s="22">
        <f t="shared" si="17"/>
        <v>0.0033750000000000004</v>
      </c>
      <c r="AF32" s="70">
        <f t="shared" si="18"/>
        <v>0.007195306487377026</v>
      </c>
      <c r="AG32" s="83"/>
      <c r="AH32" s="84"/>
      <c r="AI32" s="82"/>
      <c r="AJ32" s="68"/>
    </row>
    <row r="33" spans="1:36" s="6" customFormat="1" ht="13.5">
      <c r="A33" s="6" t="s">
        <v>71</v>
      </c>
      <c r="B33" s="6" t="s">
        <v>271</v>
      </c>
      <c r="C33" s="6" t="s">
        <v>436</v>
      </c>
      <c r="D33" s="32">
        <v>36</v>
      </c>
      <c r="E33" s="33" t="s">
        <v>271</v>
      </c>
      <c r="F33" s="23">
        <f>VLOOKUP(D33,'Participaciones  Tabla I'!B$5:D$110,3)</f>
        <v>8090</v>
      </c>
      <c r="G33" s="30">
        <f t="shared" si="0"/>
        <v>0.0070218928558099004</v>
      </c>
      <c r="H33" s="30">
        <f t="shared" si="4"/>
        <v>0.0044940114277183365</v>
      </c>
      <c r="I33" s="38">
        <f>VLOOKUP(E33,'Participaciones  Tabla I'!$C$5:$AD$110,5,FALSE)</f>
        <v>5825</v>
      </c>
      <c r="J33" s="38">
        <f>VLOOKUP(E33,'Participaciones  Tabla I'!$C$5:$AD$110,6,FALSE)</f>
        <v>720</v>
      </c>
      <c r="K33" s="26">
        <f t="shared" si="1"/>
        <v>6545</v>
      </c>
      <c r="L33" s="53">
        <f t="shared" si="5"/>
        <v>4.0628701097365565E-5</v>
      </c>
      <c r="M33" s="29">
        <f t="shared" si="6"/>
        <v>1.3407471362130638E-5</v>
      </c>
      <c r="N33" s="39">
        <f>VLOOKUP(E33,'Participaciones  Tabla I'!$C$5:$AD$110,10,FALSE)</f>
        <v>0</v>
      </c>
      <c r="O33" s="39">
        <f>VLOOKUP(E33,'Participaciones  Tabla I'!$C$5:$AD$110,11,FALSE)</f>
        <v>0</v>
      </c>
      <c r="P33" s="26">
        <f t="shared" si="2"/>
        <v>0</v>
      </c>
      <c r="Q33" s="34">
        <f t="shared" si="7"/>
        <v>0</v>
      </c>
      <c r="R33" s="51">
        <f t="shared" si="8"/>
        <v>0</v>
      </c>
      <c r="S33" s="39">
        <f>VLOOKUP(E33,'Participaciones  Tabla I'!$C$5:$AD$110,15,FALSE)</f>
        <v>0</v>
      </c>
      <c r="T33" s="39">
        <f>VLOOKUP(E33,'Participaciones  Tabla I'!$C$5:$AD$110,16,FALSE)</f>
        <v>0</v>
      </c>
      <c r="U33" s="26">
        <f t="shared" si="9"/>
        <v>0</v>
      </c>
      <c r="V33" s="24">
        <f t="shared" si="10"/>
        <v>0</v>
      </c>
      <c r="W33" s="24">
        <f t="shared" si="11"/>
        <v>0</v>
      </c>
      <c r="X33" s="24">
        <f t="shared" si="3"/>
        <v>1.3407471362130638E-5</v>
      </c>
      <c r="Y33" s="25">
        <f t="shared" si="12"/>
        <v>6.033362112958786E-7</v>
      </c>
      <c r="Z33" s="24">
        <f t="shared" si="13"/>
        <v>0</v>
      </c>
      <c r="AA33" s="37">
        <f>VLOOKUP(D33,'Participaciones  Tabla I'!$B$5:$Y$110,24,FALSE)</f>
        <v>53.0303898657951</v>
      </c>
      <c r="AB33" s="23">
        <f t="shared" si="14"/>
        <v>12456.781655520479</v>
      </c>
      <c r="AC33" s="35">
        <f t="shared" si="15"/>
        <v>0.008137280476036842</v>
      </c>
      <c r="AD33" s="22">
        <f t="shared" si="16"/>
        <v>2.0343201190092106E-4</v>
      </c>
      <c r="AE33" s="22">
        <f t="shared" si="17"/>
        <v>0.0033750000000000004</v>
      </c>
      <c r="AF33" s="70">
        <f t="shared" si="18"/>
        <v>0.008073046775830553</v>
      </c>
      <c r="AG33" s="83"/>
      <c r="AH33" s="84"/>
      <c r="AI33" s="82"/>
      <c r="AJ33" s="68"/>
    </row>
    <row r="34" spans="1:36" s="6" customFormat="1" ht="13.5">
      <c r="A34" s="6" t="s">
        <v>70</v>
      </c>
      <c r="B34" s="6" t="s">
        <v>273</v>
      </c>
      <c r="C34" s="6" t="s">
        <v>435</v>
      </c>
      <c r="D34" s="32">
        <v>38</v>
      </c>
      <c r="E34" s="31" t="s">
        <v>273</v>
      </c>
      <c r="F34" s="23">
        <f>VLOOKUP(D34,'Participaciones  Tabla I'!B$5:D$110,3)</f>
        <v>35137</v>
      </c>
      <c r="G34" s="30">
        <f t="shared" si="0"/>
        <v>0.030497929452978054</v>
      </c>
      <c r="H34" s="30">
        <f t="shared" si="4"/>
        <v>0.019518674849905954</v>
      </c>
      <c r="I34" s="38">
        <f>VLOOKUP(E34,'Participaciones  Tabla I'!$C$5:$AD$110,5,FALSE)</f>
        <v>2229291.23</v>
      </c>
      <c r="J34" s="38">
        <f>VLOOKUP(E34,'Participaciones  Tabla I'!$C$5:$AD$110,6,FALSE)</f>
        <v>135411</v>
      </c>
      <c r="K34" s="26">
        <f t="shared" si="1"/>
        <v>2364702.23</v>
      </c>
      <c r="L34" s="53">
        <f t="shared" si="5"/>
        <v>0.014679110784865364</v>
      </c>
      <c r="M34" s="29">
        <f t="shared" si="6"/>
        <v>0.00484410655900557</v>
      </c>
      <c r="N34" s="39">
        <f>VLOOKUP(E34,'Participaciones  Tabla I'!$C$5:$AD$110,10,FALSE)</f>
        <v>3350861.07</v>
      </c>
      <c r="O34" s="39">
        <f>VLOOKUP(E34,'Participaciones  Tabla I'!$C$5:$AD$110,11,FALSE)</f>
        <v>417285</v>
      </c>
      <c r="P34" s="26">
        <f t="shared" si="2"/>
        <v>3768146.07</v>
      </c>
      <c r="Q34" s="34">
        <f t="shared" si="7"/>
        <v>0.0186021152354079</v>
      </c>
      <c r="R34" s="51">
        <f t="shared" si="8"/>
        <v>0.006138698027684608</v>
      </c>
      <c r="S34" s="39">
        <f>VLOOKUP(E34,'Participaciones  Tabla I'!$C$5:$AD$110,15,FALSE)</f>
        <v>1.385505511E7</v>
      </c>
      <c r="T34" s="39">
        <f>VLOOKUP(E34,'Participaciones  Tabla I'!$C$5:$AD$110,16,FALSE)</f>
        <v>315744.74</v>
      </c>
      <c r="U34" s="26">
        <f t="shared" si="9"/>
        <v>1.417079985E7</v>
      </c>
      <c r="V34" s="24">
        <f t="shared" si="10"/>
        <v>0.05766836767221435</v>
      </c>
      <c r="W34" s="24">
        <f t="shared" si="11"/>
        <v>0.01960724500855288</v>
      </c>
      <c r="X34" s="24">
        <f t="shared" si="3"/>
        <v>0.030590049595243057</v>
      </c>
      <c r="Y34" s="25">
        <f t="shared" si="12"/>
        <v>0.0013765522317859375</v>
      </c>
      <c r="Z34" s="24">
        <f t="shared" si="13"/>
        <v>0.001153367353444287</v>
      </c>
      <c r="AA34" s="37">
        <f>VLOOKUP(D34,'Participaciones  Tabla I'!$B$5:$Y$110,24,FALSE)</f>
        <v>54.4931812120775</v>
      </c>
      <c r="AB34" s="23">
        <f t="shared" si="14"/>
        <v>46619.519158979456</v>
      </c>
      <c r="AC34" s="35">
        <f t="shared" si="15"/>
        <v>0.03045378120491255</v>
      </c>
      <c r="AD34" s="22">
        <f t="shared" si="16"/>
        <v>7.613445301228139E-4</v>
      </c>
      <c r="AE34" s="22">
        <f t="shared" si="17"/>
        <v>0.0033750000000000004</v>
      </c>
      <c r="AF34" s="70">
        <f t="shared" si="18"/>
        <v>0.026184938965258992</v>
      </c>
      <c r="AG34" s="83"/>
      <c r="AH34" s="84"/>
      <c r="AI34" s="82"/>
      <c r="AJ34" s="68"/>
    </row>
    <row r="35" spans="1:36" s="6" customFormat="1" ht="13.5">
      <c r="A35" s="6" t="s">
        <v>69</v>
      </c>
      <c r="B35" s="6" t="s">
        <v>274</v>
      </c>
      <c r="C35" s="6" t="s">
        <v>434</v>
      </c>
      <c r="D35" s="32">
        <v>39</v>
      </c>
      <c r="E35" s="33" t="s">
        <v>274</v>
      </c>
      <c r="F35" s="23">
        <f>VLOOKUP(D35,'Participaciones  Tabla I'!B$5:D$110,3)</f>
        <v>4186</v>
      </c>
      <c r="G35" s="30">
        <f t="shared" si="0"/>
        <v>0.003633330469025988</v>
      </c>
      <c r="H35" s="30">
        <f t="shared" si="4"/>
        <v>0.0023253315001766322</v>
      </c>
      <c r="I35" s="38">
        <f>VLOOKUP(E35,'Participaciones  Tabla I'!$C$5:$AD$110,5,FALSE)</f>
        <v>0</v>
      </c>
      <c r="J35" s="38">
        <f>VLOOKUP(E35,'Participaciones  Tabla I'!$C$5:$AD$110,6,FALSE)</f>
        <v>0</v>
      </c>
      <c r="K35" s="26">
        <f t="shared" si="1"/>
        <v>0</v>
      </c>
      <c r="L35" s="53">
        <f t="shared" si="5"/>
        <v>0</v>
      </c>
      <c r="M35" s="29">
        <f t="shared" si="6"/>
        <v>0</v>
      </c>
      <c r="N35" s="39">
        <f>VLOOKUP(E35,'Participaciones  Tabla I'!$C$5:$AD$110,10,FALSE)</f>
        <v>976906.60</v>
      </c>
      <c r="O35" s="39">
        <f>VLOOKUP(E35,'Participaciones  Tabla I'!$C$5:$AD$110,11,FALSE)</f>
        <v>0</v>
      </c>
      <c r="P35" s="26">
        <f t="shared" si="2"/>
        <v>976906.60</v>
      </c>
      <c r="Q35" s="34">
        <f t="shared" si="7"/>
        <v>0.004822671098689795</v>
      </c>
      <c r="R35" s="51">
        <f t="shared" si="8"/>
        <v>0.0015914814625676323</v>
      </c>
      <c r="S35" s="39">
        <f>VLOOKUP(E35,'Participaciones  Tabla I'!$C$5:$AD$110,15,FALSE)</f>
        <v>1171412.32</v>
      </c>
      <c r="T35" s="39">
        <f>VLOOKUP(E35,'Participaciones  Tabla I'!$C$5:$AD$110,16,FALSE)</f>
        <v>0</v>
      </c>
      <c r="U35" s="26">
        <f t="shared" si="9"/>
        <v>1171412.32</v>
      </c>
      <c r="V35" s="24">
        <f t="shared" si="10"/>
        <v>0.004767087043821427</v>
      </c>
      <c r="W35" s="24">
        <f t="shared" si="11"/>
        <v>0.0016208095948992854</v>
      </c>
      <c r="X35" s="24">
        <f t="shared" si="3"/>
        <v>0.0032122910574669174</v>
      </c>
      <c r="Y35" s="25">
        <f t="shared" si="12"/>
        <v>1.4455309758601128E-4</v>
      </c>
      <c r="Z35" s="24">
        <f t="shared" si="13"/>
        <v>9.534174087642855E-5</v>
      </c>
      <c r="AA35" s="37">
        <f>VLOOKUP(D35,'Participaciones  Tabla I'!$B$5:$Y$110,24,FALSE)</f>
        <v>55.1057406418157</v>
      </c>
      <c r="AB35" s="23">
        <f t="shared" si="14"/>
        <v>5180.611024441138</v>
      </c>
      <c r="AC35" s="35">
        <f t="shared" si="15"/>
        <v>0.0033841875139911247</v>
      </c>
      <c r="AD35" s="22">
        <f t="shared" si="16"/>
        <v>8.460468784977812E-5</v>
      </c>
      <c r="AE35" s="22">
        <f t="shared" si="17"/>
        <v>0.0033750000000000004</v>
      </c>
      <c r="AF35" s="70">
        <f t="shared" si="18"/>
        <v>0.006024831026488851</v>
      </c>
      <c r="AG35" s="83"/>
      <c r="AH35" s="84"/>
      <c r="AI35" s="82"/>
      <c r="AJ35" s="68"/>
    </row>
    <row r="36" spans="1:36" s="6" customFormat="1" ht="13.5">
      <c r="A36" s="6" t="s">
        <v>68</v>
      </c>
      <c r="B36" s="6" t="s">
        <v>275</v>
      </c>
      <c r="C36" s="6" t="s">
        <v>433</v>
      </c>
      <c r="D36" s="32">
        <v>40</v>
      </c>
      <c r="E36" s="33" t="s">
        <v>275</v>
      </c>
      <c r="F36" s="23">
        <f>VLOOKUP(D36,'Participaciones  Tabla I'!B$5:D$110,3)</f>
        <v>28555</v>
      </c>
      <c r="G36" s="30">
        <f t="shared" si="0"/>
        <v>0.024784938256817268</v>
      </c>
      <c r="H36" s="30">
        <f t="shared" si="4"/>
        <v>0.015862360484363052</v>
      </c>
      <c r="I36" s="38">
        <f>VLOOKUP(E36,'Participaciones  Tabla I'!$C$5:$AD$110,5,FALSE)</f>
        <v>338298.18</v>
      </c>
      <c r="J36" s="38">
        <f>VLOOKUP(E36,'Participaciones  Tabla I'!$C$5:$AD$110,6,FALSE)</f>
        <v>315744.75</v>
      </c>
      <c r="K36" s="26">
        <f t="shared" si="1"/>
        <v>654042.9299999999</v>
      </c>
      <c r="L36" s="53">
        <f t="shared" si="5"/>
        <v>0.004060032804860991</v>
      </c>
      <c r="M36" s="29">
        <f t="shared" si="6"/>
        <v>0.001339810825604127</v>
      </c>
      <c r="N36" s="39">
        <f>VLOOKUP(E36,'Participaciones  Tabla I'!$C$5:$AD$110,10,FALSE)</f>
        <v>2922011.07</v>
      </c>
      <c r="O36" s="39">
        <f>VLOOKUP(E36,'Participaciones  Tabla I'!$C$5:$AD$110,11,FALSE)</f>
        <v>294229.48</v>
      </c>
      <c r="P36" s="26">
        <f t="shared" si="2"/>
        <v>3216240.55</v>
      </c>
      <c r="Q36" s="34">
        <f t="shared" si="7"/>
        <v>0.015877536651834646</v>
      </c>
      <c r="R36" s="51">
        <f t="shared" si="8"/>
        <v>0.0052395870951054335</v>
      </c>
      <c r="S36" s="39">
        <f>VLOOKUP(E36,'Participaciones  Tabla I'!$C$5:$AD$110,15,FALSE)</f>
        <v>2755810.76</v>
      </c>
      <c r="T36" s="39">
        <f>VLOOKUP(E36,'Participaciones  Tabla I'!$C$5:$AD$110,16,FALSE)</f>
        <v>100600.08</v>
      </c>
      <c r="U36" s="26">
        <f t="shared" si="9"/>
        <v>2856410.84</v>
      </c>
      <c r="V36" s="24">
        <f t="shared" si="10"/>
        <v>0.01162422391732663</v>
      </c>
      <c r="W36" s="24">
        <f t="shared" si="11"/>
        <v>0.003952236131891055</v>
      </c>
      <c r="X36" s="24">
        <f t="shared" si="3"/>
        <v>0.010531634052600616</v>
      </c>
      <c r="Y36" s="25">
        <f t="shared" si="12"/>
        <v>4.739235323670277E-4</v>
      </c>
      <c r="Z36" s="24">
        <f t="shared" si="13"/>
        <v>2.324844783465326E-4</v>
      </c>
      <c r="AA36" s="37">
        <f>VLOOKUP(D36,'Participaciones  Tabla I'!$B$5:$Y$110,24,FALSE)</f>
        <v>55.0226455444762</v>
      </c>
      <c r="AB36" s="23">
        <f t="shared" si="14"/>
        <v>35685.263703121345</v>
      </c>
      <c r="AC36" s="35">
        <f t="shared" si="15"/>
        <v>0.023311077262476314</v>
      </c>
      <c r="AD36" s="22">
        <f t="shared" si="16"/>
        <v>5.827769315619079E-4</v>
      </c>
      <c r="AE36" s="22">
        <f t="shared" si="17"/>
        <v>0.0033750000000000004</v>
      </c>
      <c r="AF36" s="70">
        <f t="shared" si="18"/>
        <v>0.02052654542663852</v>
      </c>
      <c r="AG36" s="83"/>
      <c r="AH36" s="84"/>
      <c r="AI36" s="82"/>
      <c r="AJ36" s="68"/>
    </row>
    <row r="37" spans="1:36" s="6" customFormat="1" ht="13.5">
      <c r="A37" s="6" t="s">
        <v>67</v>
      </c>
      <c r="B37" s="6" t="s">
        <v>276</v>
      </c>
      <c r="C37" s="6" t="s">
        <v>432</v>
      </c>
      <c r="D37" s="32">
        <v>41</v>
      </c>
      <c r="E37" s="33" t="s">
        <v>276</v>
      </c>
      <c r="F37" s="23">
        <f>VLOOKUP(D37,'Participaciones  Tabla I'!B$5:D$110,3)</f>
        <v>141939</v>
      </c>
      <c r="G37" s="30">
        <f t="shared" si="19" ref="G37:G68">F37/$F$86</f>
        <v>0.12319906675658855</v>
      </c>
      <c r="H37" s="30">
        <f t="shared" si="20" ref="H37:H68">G37*0.64</f>
        <v>0.07884740272421667</v>
      </c>
      <c r="I37" s="38">
        <f>VLOOKUP(E37,'Participaciones  Tabla I'!$C$5:$AD$110,5,FALSE)</f>
        <v>1.065209824E7</v>
      </c>
      <c r="J37" s="38">
        <f>VLOOKUP(E37,'Participaciones  Tabla I'!$C$5:$AD$110,6,FALSE)</f>
        <v>1767466</v>
      </c>
      <c r="K37" s="26">
        <f t="shared" si="21" ref="K37:K68">I37+J37</f>
        <v>1.241956424E7</v>
      </c>
      <c r="L37" s="53">
        <f t="shared" si="22" ref="L37:L68">K37/$K$86</f>
        <v>0.07709560936080828</v>
      </c>
      <c r="M37" s="29">
        <f t="shared" si="23" ref="M37:M68">L37*0.33</f>
        <v>0.025441551089066733</v>
      </c>
      <c r="N37" s="39">
        <f>VLOOKUP(E37,'Participaciones  Tabla I'!$C$5:$AD$110,10,FALSE)</f>
        <v>1.326606325E7</v>
      </c>
      <c r="O37" s="39">
        <f>VLOOKUP(E37,'Participaciones  Tabla I'!$C$5:$AD$110,11,FALSE)</f>
        <v>2165237</v>
      </c>
      <c r="P37" s="26">
        <f t="shared" si="24" ref="P37:P68">N37+O37</f>
        <v>1.543130025E7</v>
      </c>
      <c r="Q37" s="34">
        <f t="shared" si="25" ref="Q37:Q68">P37/$P$86</f>
        <v>0.07617932536322265</v>
      </c>
      <c r="R37" s="51">
        <f t="shared" si="26" ref="R37:R68">Q37*0.33</f>
        <v>0.025139177369863475</v>
      </c>
      <c r="S37" s="39">
        <f>VLOOKUP(E37,'Participaciones  Tabla I'!$C$5:$AD$110,15,FALSE)</f>
        <v>1.601861223E7</v>
      </c>
      <c r="T37" s="39">
        <f>VLOOKUP(E37,'Participaciones  Tabla I'!$C$5:$AD$110,16,FALSE)</f>
        <v>2281893.05</v>
      </c>
      <c r="U37" s="26">
        <f t="shared" si="27" ref="U37:U68">S37+T37</f>
        <v>1.830050528E7</v>
      </c>
      <c r="V37" s="24">
        <f t="shared" si="28" ref="V37:V68">U37/$U$86</f>
        <v>0.07447429067134416</v>
      </c>
      <c r="W37" s="24">
        <f t="shared" si="29" ref="W37:W68">V37*0.34</f>
        <v>0.025321258828257014</v>
      </c>
      <c r="X37" s="24">
        <f t="shared" si="30" ref="X37:X68">M37+R37+W37</f>
        <v>0.07590198728718722</v>
      </c>
      <c r="Y37" s="25">
        <f t="shared" si="31" ref="Y37:Y68">X37*0.045</f>
        <v>0.0034155894279234247</v>
      </c>
      <c r="Z37" s="24">
        <f t="shared" si="32" ref="Z37:Z68">V37*0.02</f>
        <v>0.0014894858134268832</v>
      </c>
      <c r="AA37" s="37">
        <f>VLOOKUP(D37,'Participaciones  Tabla I'!$B$5:$Y$110,24,FALSE)</f>
        <v>58.1220187891718</v>
      </c>
      <c r="AB37" s="23">
        <f t="shared" si="14"/>
        <v>113328.93265219289</v>
      </c>
      <c r="AC37" s="35">
        <f t="shared" si="15"/>
        <v>0.07403110502720389</v>
      </c>
      <c r="AD37" s="22">
        <f t="shared" si="33" ref="AD37:AD68">AC37*0.025</f>
        <v>0.0018507776256800974</v>
      </c>
      <c r="AE37" s="22">
        <f t="shared" si="34" ref="AE37:AE68">0.27/80</f>
        <v>0.0033750000000000004</v>
      </c>
      <c r="AF37" s="70">
        <f t="shared" si="35" ref="AF37:AF68">H37+Y37+Z37+AD37+AE37</f>
        <v>0.08897825559124709</v>
      </c>
      <c r="AG37" s="83"/>
      <c r="AH37" s="84"/>
      <c r="AI37" s="82"/>
      <c r="AJ37" s="68"/>
    </row>
    <row r="38" spans="1:36" s="6" customFormat="1" ht="13.5">
      <c r="A38" s="6" t="s">
        <v>66</v>
      </c>
      <c r="B38" s="6" t="s">
        <v>277</v>
      </c>
      <c r="C38" s="6" t="s">
        <v>431</v>
      </c>
      <c r="D38" s="32">
        <v>42</v>
      </c>
      <c r="E38" s="31" t="s">
        <v>277</v>
      </c>
      <c r="F38" s="23">
        <f>VLOOKUP(D38,'Participaciones  Tabla I'!B$5:D$110,3)</f>
        <v>5553</v>
      </c>
      <c r="G38" s="30">
        <f t="shared" si="19"/>
        <v>0.004819848087554064</v>
      </c>
      <c r="H38" s="30">
        <f t="shared" si="20"/>
        <v>0.0030847027760346007</v>
      </c>
      <c r="I38" s="38">
        <f>VLOOKUP(E38,'Participaciones  Tabla I'!$C$5:$AD$110,5,FALSE)</f>
        <v>2825</v>
      </c>
      <c r="J38" s="38">
        <f>VLOOKUP(E38,'Participaciones  Tabla I'!$C$5:$AD$110,6,FALSE)</f>
        <v>15600</v>
      </c>
      <c r="K38" s="26">
        <f t="shared" si="21"/>
        <v>18425</v>
      </c>
      <c r="L38" s="53">
        <f t="shared" si="22"/>
        <v>1.1437491485392828E-4</v>
      </c>
      <c r="M38" s="29">
        <f t="shared" si="23"/>
        <v>3.774372190179633E-5</v>
      </c>
      <c r="N38" s="39">
        <f>VLOOKUP(E38,'Participaciones  Tabla I'!$C$5:$AD$110,10,FALSE)</f>
        <v>0</v>
      </c>
      <c r="O38" s="39">
        <f>VLOOKUP(E38,'Participaciones  Tabla I'!$C$5:$AD$110,11,FALSE)</f>
        <v>16300</v>
      </c>
      <c r="P38" s="26">
        <f t="shared" si="24"/>
        <v>16300</v>
      </c>
      <c r="Q38" s="34">
        <f t="shared" si="25"/>
        <v>8.046781433214153E-5</v>
      </c>
      <c r="R38" s="51">
        <f t="shared" si="26"/>
        <v>2.6554378729606704E-5</v>
      </c>
      <c r="S38" s="39">
        <f>VLOOKUP(E38,'Participaciones  Tabla I'!$C$5:$AD$110,15,FALSE)</f>
        <v>79615</v>
      </c>
      <c r="T38" s="39">
        <f>VLOOKUP(E38,'Participaciones  Tabla I'!$C$5:$AD$110,16,FALSE)</f>
        <v>15340</v>
      </c>
      <c r="U38" s="26">
        <f t="shared" si="27"/>
        <v>94955</v>
      </c>
      <c r="V38" s="24">
        <f t="shared" si="28"/>
        <v>3.864213671972167E-4</v>
      </c>
      <c r="W38" s="24">
        <f t="shared" si="29"/>
        <v>1.3138326484705368E-4</v>
      </c>
      <c r="X38" s="24">
        <f t="shared" si="30"/>
        <v>1.956813654784567E-4</v>
      </c>
      <c r="Y38" s="25">
        <f t="shared" si="31"/>
        <v>8.805661446530551E-6</v>
      </c>
      <c r="Z38" s="24">
        <f t="shared" si="32"/>
        <v>7.728427343944334E-6</v>
      </c>
      <c r="AA38" s="37">
        <f>VLOOKUP(D38,'Participaciones  Tabla I'!$B$5:$Y$110,24,FALSE)</f>
        <v>52.5371522522648</v>
      </c>
      <c r="AB38" s="23">
        <f t="shared" si="14"/>
        <v>8949.162779886068</v>
      </c>
      <c r="AC38" s="35">
        <f t="shared" si="15"/>
        <v>0.005845960022376245</v>
      </c>
      <c r="AD38" s="22">
        <f t="shared" si="33"/>
        <v>1.4614900055940613E-4</v>
      </c>
      <c r="AE38" s="22">
        <f t="shared" si="34"/>
        <v>0.0033750000000000004</v>
      </c>
      <c r="AF38" s="70">
        <f t="shared" si="35"/>
        <v>0.0066223858653844826</v>
      </c>
      <c r="AG38" s="83"/>
      <c r="AH38" s="84"/>
      <c r="AI38" s="82"/>
      <c r="AJ38" s="68"/>
    </row>
    <row r="39" spans="1:36" s="6" customFormat="1" ht="13.5">
      <c r="A39" s="6" t="s">
        <v>65</v>
      </c>
      <c r="B39" s="6" t="s">
        <v>279</v>
      </c>
      <c r="C39" s="6" t="s">
        <v>430</v>
      </c>
      <c r="D39" s="32">
        <v>44</v>
      </c>
      <c r="E39" s="31" t="s">
        <v>279</v>
      </c>
      <c r="F39" s="23">
        <f>VLOOKUP(D39,'Participaciones  Tabla I'!B$5:D$110,3)</f>
        <v>7530</v>
      </c>
      <c r="G39" s="30">
        <f t="shared" si="19"/>
        <v>0.006535828579017126</v>
      </c>
      <c r="H39" s="30">
        <f t="shared" si="20"/>
        <v>0.004182930290570961</v>
      </c>
      <c r="I39" s="38">
        <f>VLOOKUP(E39,'Participaciones  Tabla I'!$C$5:$AD$110,5,FALSE)</f>
        <v>186339</v>
      </c>
      <c r="J39" s="38">
        <f>VLOOKUP(E39,'Participaciones  Tabla I'!$C$5:$AD$110,6,FALSE)</f>
        <v>0</v>
      </c>
      <c r="K39" s="26">
        <f t="shared" si="21"/>
        <v>186339</v>
      </c>
      <c r="L39" s="53">
        <f t="shared" si="22"/>
        <v>0.0011567168118841867</v>
      </c>
      <c r="M39" s="29">
        <f t="shared" si="23"/>
        <v>3.8171654792178167E-4</v>
      </c>
      <c r="N39" s="39">
        <f>VLOOKUP(E39,'Participaciones  Tabla I'!$C$5:$AD$110,10,FALSE)</f>
        <v>247573</v>
      </c>
      <c r="O39" s="39">
        <f>VLOOKUP(E39,'Participaciones  Tabla I'!$C$5:$AD$110,11,FALSE)</f>
        <v>0</v>
      </c>
      <c r="P39" s="26">
        <f t="shared" si="24"/>
        <v>247573</v>
      </c>
      <c r="Q39" s="34">
        <f t="shared" si="25"/>
        <v>0.0012221876194878083</v>
      </c>
      <c r="R39" s="51">
        <f t="shared" si="26"/>
        <v>4.0332191443097674E-4</v>
      </c>
      <c r="S39" s="39">
        <f>VLOOKUP(E39,'Participaciones  Tabla I'!$C$5:$AD$110,15,FALSE)</f>
        <v>192200.78</v>
      </c>
      <c r="T39" s="39">
        <f>VLOOKUP(E39,'Participaciones  Tabla I'!$C$5:$AD$110,16,FALSE)</f>
        <v>44550</v>
      </c>
      <c r="U39" s="26">
        <f t="shared" si="27"/>
        <v>236750.78</v>
      </c>
      <c r="V39" s="24">
        <f t="shared" si="28"/>
        <v>9.634622725776154E-4</v>
      </c>
      <c r="W39" s="24">
        <f t="shared" si="29"/>
        <v>3.2757717267638926E-4</v>
      </c>
      <c r="X39" s="24">
        <f t="shared" si="30"/>
        <v>0.0011126156350291477</v>
      </c>
      <c r="Y39" s="25">
        <f t="shared" si="31"/>
        <v>5.0067703576311646E-5</v>
      </c>
      <c r="Z39" s="24">
        <f t="shared" si="32"/>
        <v>1.926924545155231E-5</v>
      </c>
      <c r="AA39" s="37">
        <f>VLOOKUP(D39,'Participaciones  Tabla I'!$B$5:$Y$110,24,FALSE)</f>
        <v>53.8417356501315</v>
      </c>
      <c r="AB39" s="23">
        <f t="shared" si="14"/>
        <v>10704.973968736624</v>
      </c>
      <c r="AC39" s="35">
        <f t="shared" si="15"/>
        <v>0.0069929278750485956</v>
      </c>
      <c r="AD39" s="22">
        <f t="shared" si="33"/>
        <v>1.748231968762149E-4</v>
      </c>
      <c r="AE39" s="22">
        <f t="shared" si="34"/>
        <v>0.0033750000000000004</v>
      </c>
      <c r="AF39" s="70">
        <f t="shared" si="35"/>
        <v>0.00780209043647504</v>
      </c>
      <c r="AG39" s="83"/>
      <c r="AH39" s="84"/>
      <c r="AI39" s="82"/>
      <c r="AJ39" s="68"/>
    </row>
    <row r="40" spans="1:36" s="6" customFormat="1" ht="13.5">
      <c r="A40" s="6" t="s">
        <v>64</v>
      </c>
      <c r="B40" s="6" t="s">
        <v>280</v>
      </c>
      <c r="C40" s="6" t="s">
        <v>429</v>
      </c>
      <c r="D40" s="32">
        <v>45</v>
      </c>
      <c r="E40" s="31" t="s">
        <v>280</v>
      </c>
      <c r="F40" s="23">
        <f>VLOOKUP(D40,'Participaciones  Tabla I'!B$5:D$110,3)</f>
        <v>2677</v>
      </c>
      <c r="G40" s="30">
        <f t="shared" si="19"/>
        <v>0.00232356083745403</v>
      </c>
      <c r="H40" s="30">
        <f t="shared" si="20"/>
        <v>0.0014870789359705792</v>
      </c>
      <c r="I40" s="38">
        <f>VLOOKUP(E40,'Participaciones  Tabla I'!$C$5:$AD$110,5,FALSE)</f>
        <v>12500</v>
      </c>
      <c r="J40" s="38">
        <f>VLOOKUP(E40,'Participaciones  Tabla I'!$C$5:$AD$110,6,FALSE)</f>
        <v>5868</v>
      </c>
      <c r="K40" s="26">
        <f t="shared" si="21"/>
        <v>18368</v>
      </c>
      <c r="L40" s="53">
        <f t="shared" si="22"/>
        <v>1.1402108201014679E-4</v>
      </c>
      <c r="M40" s="29">
        <f t="shared" si="23"/>
        <v>3.762695706334844E-5</v>
      </c>
      <c r="N40" s="39">
        <f>VLOOKUP(E40,'Participaciones  Tabla I'!$C$5:$AD$110,10,FALSE)</f>
        <v>0</v>
      </c>
      <c r="O40" s="39">
        <f>VLOOKUP(E40,'Participaciones  Tabla I'!$C$5:$AD$110,11,FALSE)</f>
        <v>0</v>
      </c>
      <c r="P40" s="26">
        <f t="shared" si="24"/>
        <v>0</v>
      </c>
      <c r="Q40" s="34">
        <f t="shared" si="25"/>
        <v>0</v>
      </c>
      <c r="R40" s="51">
        <f t="shared" si="26"/>
        <v>0</v>
      </c>
      <c r="S40" s="39">
        <f>VLOOKUP(E40,'Participaciones  Tabla I'!$C$5:$AD$110,15,FALSE)</f>
        <v>26762</v>
      </c>
      <c r="T40" s="39">
        <f>VLOOKUP(E40,'Participaciones  Tabla I'!$C$5:$AD$110,16,FALSE)</f>
        <v>269</v>
      </c>
      <c r="U40" s="26">
        <f t="shared" si="27"/>
        <v>27031</v>
      </c>
      <c r="V40" s="24">
        <f t="shared" si="28"/>
        <v>1.1000322233382092E-4</v>
      </c>
      <c r="W40" s="24">
        <f t="shared" si="29"/>
        <v>3.7401095593499116E-5</v>
      </c>
      <c r="X40" s="24">
        <f t="shared" si="30"/>
        <v>7.502805265684757E-5</v>
      </c>
      <c r="Y40" s="25">
        <f t="shared" si="31"/>
        <v>3.3762623695581404E-6</v>
      </c>
      <c r="Z40" s="24">
        <f t="shared" si="32"/>
        <v>2.2000644466764184E-6</v>
      </c>
      <c r="AA40" s="37">
        <f>VLOOKUP(D40,'Participaciones  Tabla I'!$B$5:$Y$110,24,FALSE)</f>
        <v>54.6742960350614</v>
      </c>
      <c r="AB40" s="23">
        <f t="shared" si="14"/>
        <v>3481.231025258872</v>
      </c>
      <c r="AC40" s="35">
        <f t="shared" si="15"/>
        <v>0.002274082827955703</v>
      </c>
      <c r="AD40" s="22">
        <f t="shared" si="33"/>
        <v>5.685207069889257E-5</v>
      </c>
      <c r="AE40" s="22">
        <f t="shared" si="34"/>
        <v>0.0033750000000000004</v>
      </c>
      <c r="AF40" s="70">
        <f t="shared" si="35"/>
        <v>0.004924507333485707</v>
      </c>
      <c r="AG40" s="83"/>
      <c r="AH40" s="84"/>
      <c r="AI40" s="82"/>
      <c r="AJ40" s="68"/>
    </row>
    <row r="41" spans="1:36" s="6" customFormat="1" ht="13.5">
      <c r="A41" s="6" t="s">
        <v>63</v>
      </c>
      <c r="B41" s="6" t="s">
        <v>282</v>
      </c>
      <c r="C41" s="6" t="s">
        <v>428</v>
      </c>
      <c r="D41" s="32">
        <v>47</v>
      </c>
      <c r="E41" s="31" t="s">
        <v>282</v>
      </c>
      <c r="F41" s="23">
        <f>VLOOKUP(D41,'Participaciones  Tabla I'!B$5:D$110,3)</f>
        <v>5968</v>
      </c>
      <c r="G41" s="30">
        <f t="shared" si="19"/>
        <v>0.005180056435534423</v>
      </c>
      <c r="H41" s="30">
        <f t="shared" si="20"/>
        <v>0.003315236118742031</v>
      </c>
      <c r="I41" s="38">
        <f>VLOOKUP(E41,'Participaciones  Tabla I'!$C$5:$AD$110,5,FALSE)</f>
        <v>20175</v>
      </c>
      <c r="J41" s="38">
        <f>VLOOKUP(E41,'Participaciones  Tabla I'!$C$5:$AD$110,6,FALSE)</f>
        <v>46996</v>
      </c>
      <c r="K41" s="26">
        <f t="shared" si="21"/>
        <v>67171</v>
      </c>
      <c r="L41" s="53">
        <f t="shared" si="22"/>
        <v>4.169702798183564E-4</v>
      </c>
      <c r="M41" s="29">
        <f t="shared" si="23"/>
        <v>1.376001923400576E-4</v>
      </c>
      <c r="N41" s="39">
        <f>VLOOKUP(E41,'Participaciones  Tabla I'!$C$5:$AD$110,10,FALSE)</f>
        <v>18676</v>
      </c>
      <c r="O41" s="39">
        <f>VLOOKUP(E41,'Participaciones  Tabla I'!$C$5:$AD$110,11,FALSE)</f>
        <v>153880</v>
      </c>
      <c r="P41" s="26">
        <f t="shared" si="24"/>
        <v>172556</v>
      </c>
      <c r="Q41" s="34">
        <f t="shared" si="25"/>
        <v>8.51853016558099E-4</v>
      </c>
      <c r="R41" s="51">
        <f t="shared" si="26"/>
        <v>2.811114954641727E-4</v>
      </c>
      <c r="S41" s="39">
        <f>VLOOKUP(E41,'Participaciones  Tabla I'!$C$5:$AD$110,15,FALSE)</f>
        <v>14380</v>
      </c>
      <c r="T41" s="39">
        <f>VLOOKUP(E41,'Participaciones  Tabla I'!$C$5:$AD$110,16,FALSE)</f>
        <v>143410</v>
      </c>
      <c r="U41" s="26">
        <f t="shared" si="27"/>
        <v>157790</v>
      </c>
      <c r="V41" s="24">
        <f t="shared" si="28"/>
        <v>6.421297196571937E-4</v>
      </c>
      <c r="W41" s="24">
        <f t="shared" si="29"/>
        <v>2.1832410468344588E-4</v>
      </c>
      <c r="X41" s="24">
        <f t="shared" si="30"/>
        <v>6.370357924876762E-4</v>
      </c>
      <c r="Y41" s="25">
        <f t="shared" si="31"/>
        <v>2.8666610661945425E-5</v>
      </c>
      <c r="Z41" s="24">
        <f t="shared" si="32"/>
        <v>1.2842594393143874E-5</v>
      </c>
      <c r="AA41" s="37">
        <f>VLOOKUP(D41,'Participaciones  Tabla I'!$B$5:$Y$110,24,FALSE)</f>
        <v>51.9982247690659</v>
      </c>
      <c r="AB41" s="23">
        <f t="shared" si="14"/>
        <v>10086.268970588053</v>
      </c>
      <c r="AC41" s="35">
        <f t="shared" si="15"/>
        <v>0.00658876440481312</v>
      </c>
      <c r="AD41" s="22">
        <f t="shared" si="33"/>
        <v>1.6471911012032802E-4</v>
      </c>
      <c r="AE41" s="22">
        <f t="shared" si="34"/>
        <v>0.0033750000000000004</v>
      </c>
      <c r="AF41" s="70">
        <f t="shared" si="35"/>
        <v>0.006896464433917449</v>
      </c>
      <c r="AG41" s="83"/>
      <c r="AH41" s="84"/>
      <c r="AI41" s="82"/>
      <c r="AJ41" s="68"/>
    </row>
    <row r="42" spans="1:36" s="6" customFormat="1" ht="13.5">
      <c r="A42" s="6" t="s">
        <v>62</v>
      </c>
      <c r="B42" s="6" t="s">
        <v>283</v>
      </c>
      <c r="C42" s="6" t="s">
        <v>427</v>
      </c>
      <c r="D42" s="32">
        <v>48</v>
      </c>
      <c r="E42" s="31" t="s">
        <v>283</v>
      </c>
      <c r="F42" s="23">
        <f>VLOOKUP(D42,'Participaciones  Tabla I'!B$5:D$110,3)</f>
        <v>23991</v>
      </c>
      <c r="G42" s="30">
        <f t="shared" si="19"/>
        <v>0.02082351440095616</v>
      </c>
      <c r="H42" s="30">
        <f t="shared" si="20"/>
        <v>0.013327049216611942</v>
      </c>
      <c r="I42" s="38">
        <f>VLOOKUP(E42,'Participaciones  Tabla I'!$C$5:$AD$110,5,FALSE)</f>
        <v>66907.50</v>
      </c>
      <c r="J42" s="38">
        <f>VLOOKUP(E42,'Participaciones  Tabla I'!$C$5:$AD$110,6,FALSE)</f>
        <v>70232.50</v>
      </c>
      <c r="K42" s="26">
        <f t="shared" si="21"/>
        <v>137140</v>
      </c>
      <c r="L42" s="53">
        <f t="shared" si="22"/>
        <v>8.513094069507584E-4</v>
      </c>
      <c r="M42" s="29">
        <f t="shared" si="23"/>
        <v>2.809321042937503E-4</v>
      </c>
      <c r="N42" s="39">
        <f>VLOOKUP(E42,'Participaciones  Tabla I'!$C$5:$AD$110,10,FALSE)</f>
        <v>127364.80</v>
      </c>
      <c r="O42" s="39">
        <f>VLOOKUP(E42,'Participaciones  Tabla I'!$C$5:$AD$110,11,FALSE)</f>
        <v>69936.50</v>
      </c>
      <c r="P42" s="26">
        <f t="shared" si="24"/>
        <v>197301.30</v>
      </c>
      <c r="Q42" s="34">
        <f t="shared" si="25"/>
        <v>9.740125383981689E-4</v>
      </c>
      <c r="R42" s="51">
        <f t="shared" si="26"/>
        <v>3.2142413767139577E-4</v>
      </c>
      <c r="S42" s="39">
        <f>VLOOKUP(E42,'Participaciones  Tabla I'!$C$5:$AD$110,15,FALSE)</f>
        <v>135877.50</v>
      </c>
      <c r="T42" s="39">
        <f>VLOOKUP(E42,'Participaciones  Tabla I'!$C$5:$AD$110,16,FALSE)</f>
        <v>114200.50</v>
      </c>
      <c r="U42" s="26">
        <f t="shared" si="27"/>
        <v>250078</v>
      </c>
      <c r="V42" s="24">
        <f t="shared" si="28"/>
        <v>0.0010176976743293724</v>
      </c>
      <c r="W42" s="24">
        <f t="shared" si="29"/>
        <v>3.460172092719866E-4</v>
      </c>
      <c r="X42" s="24">
        <f t="shared" si="30"/>
        <v>9.483734512371327E-4</v>
      </c>
      <c r="Y42" s="25">
        <f t="shared" si="31"/>
        <v>4.2676805305670966E-5</v>
      </c>
      <c r="Z42" s="24">
        <f t="shared" si="32"/>
        <v>2.0353953486587448E-5</v>
      </c>
      <c r="AA42" s="37">
        <f>VLOOKUP(D42,'Participaciones  Tabla I'!$B$5:$Y$110,24,FALSE)</f>
        <v>53.775413786013</v>
      </c>
      <c r="AB42" s="23">
        <f t="shared" si="14"/>
        <v>34338.31236838134</v>
      </c>
      <c r="AC42" s="35">
        <f t="shared" si="15"/>
        <v>0.022431193428798114</v>
      </c>
      <c r="AD42" s="22">
        <f t="shared" si="33"/>
        <v>5.607798357199528E-4</v>
      </c>
      <c r="AE42" s="22">
        <f t="shared" si="34"/>
        <v>0.0033750000000000004</v>
      </c>
      <c r="AF42" s="70">
        <f t="shared" si="35"/>
        <v>0.017325859811124153</v>
      </c>
      <c r="AG42" s="83"/>
      <c r="AH42" s="84"/>
      <c r="AI42" s="82"/>
      <c r="AJ42" s="68"/>
    </row>
    <row r="43" spans="1:36" s="6" customFormat="1" ht="13.5">
      <c r="A43" s="6" t="s">
        <v>61</v>
      </c>
      <c r="B43" s="6" t="s">
        <v>284</v>
      </c>
      <c r="C43" s="6" t="s">
        <v>426</v>
      </c>
      <c r="D43" s="32">
        <v>49</v>
      </c>
      <c r="E43" s="31" t="s">
        <v>284</v>
      </c>
      <c r="F43" s="23">
        <f>VLOOKUP(D43,'Participaciones  Tabla I'!B$5:D$110,3)</f>
        <v>3965</v>
      </c>
      <c r="G43" s="30">
        <f t="shared" si="19"/>
        <v>0.003441508674077411</v>
      </c>
      <c r="H43" s="30">
        <f t="shared" si="20"/>
        <v>0.002202565551409543</v>
      </c>
      <c r="I43" s="38">
        <f>VLOOKUP(E43,'Participaciones  Tabla I'!$C$5:$AD$110,5,FALSE)</f>
        <v>0</v>
      </c>
      <c r="J43" s="38">
        <f>VLOOKUP(E43,'Participaciones  Tabla I'!$C$5:$AD$110,6,FALSE)</f>
        <v>0</v>
      </c>
      <c r="K43" s="26">
        <f t="shared" si="21"/>
        <v>0</v>
      </c>
      <c r="L43" s="53">
        <f t="shared" si="22"/>
        <v>0</v>
      </c>
      <c r="M43" s="29">
        <f t="shared" si="23"/>
        <v>0</v>
      </c>
      <c r="N43" s="39">
        <f>VLOOKUP(E43,'Participaciones  Tabla I'!$C$5:$AD$110,10,FALSE)</f>
        <v>0</v>
      </c>
      <c r="O43" s="39">
        <f>VLOOKUP(E43,'Participaciones  Tabla I'!$C$5:$AD$110,11,FALSE)</f>
        <v>0</v>
      </c>
      <c r="P43" s="26">
        <f t="shared" si="24"/>
        <v>0</v>
      </c>
      <c r="Q43" s="34">
        <f t="shared" si="25"/>
        <v>0</v>
      </c>
      <c r="R43" s="51">
        <f t="shared" si="26"/>
        <v>0</v>
      </c>
      <c r="S43" s="39">
        <f>VLOOKUP(E43,'Participaciones  Tabla I'!$C$5:$AD$110,15,FALSE)</f>
        <v>0</v>
      </c>
      <c r="T43" s="39">
        <f>VLOOKUP(E43,'Participaciones  Tabla I'!$C$5:$AD$110,16,FALSE)</f>
        <v>0</v>
      </c>
      <c r="U43" s="26">
        <f t="shared" si="27"/>
        <v>0</v>
      </c>
      <c r="V43" s="24">
        <f t="shared" si="28"/>
        <v>0</v>
      </c>
      <c r="W43" s="24">
        <f t="shared" si="29"/>
        <v>0</v>
      </c>
      <c r="X43" s="24">
        <f t="shared" si="30"/>
        <v>0</v>
      </c>
      <c r="Y43" s="25">
        <f t="shared" si="31"/>
        <v>0</v>
      </c>
      <c r="Z43" s="24">
        <f t="shared" si="32"/>
        <v>0</v>
      </c>
      <c r="AA43" s="37">
        <f>VLOOKUP(D43,'Participaciones  Tabla I'!$B$5:$Y$110,24,FALSE)</f>
        <v>46.5053986922235</v>
      </c>
      <c r="AB43" s="23">
        <f t="shared" si="14"/>
        <v>9872.1123133846</v>
      </c>
      <c r="AC43" s="35">
        <f t="shared" si="15"/>
        <v>0.006448868496410271</v>
      </c>
      <c r="AD43" s="22">
        <f t="shared" si="33"/>
        <v>1.6122171241025678E-4</v>
      </c>
      <c r="AE43" s="22">
        <f t="shared" si="34"/>
        <v>0.0033750000000000004</v>
      </c>
      <c r="AF43" s="70">
        <f t="shared" si="35"/>
        <v>0.0057387872638198</v>
      </c>
      <c r="AG43" s="83"/>
      <c r="AH43" s="84"/>
      <c r="AI43" s="82"/>
      <c r="AJ43" s="68"/>
    </row>
    <row r="44" spans="1:36" s="6" customFormat="1" ht="13.5">
      <c r="A44" s="6" t="s">
        <v>60</v>
      </c>
      <c r="B44" s="6" t="s">
        <v>287</v>
      </c>
      <c r="C44" s="6" t="s">
        <v>425</v>
      </c>
      <c r="D44" s="32">
        <v>52</v>
      </c>
      <c r="E44" s="33" t="s">
        <v>287</v>
      </c>
      <c r="F44" s="23">
        <f>VLOOKUP(D44,'Participaciones  Tabla I'!B$5:D$110,3)</f>
        <v>37804</v>
      </c>
      <c r="G44" s="30">
        <f t="shared" si="19"/>
        <v>0.032812810571203645</v>
      </c>
      <c r="H44" s="30">
        <f t="shared" si="20"/>
        <v>0.021000198765570334</v>
      </c>
      <c r="I44" s="38">
        <f>VLOOKUP(E44,'Participaciones  Tabla I'!$C$5:$AD$110,5,FALSE)</f>
        <v>817534.17</v>
      </c>
      <c r="J44" s="38">
        <f>VLOOKUP(E44,'Participaciones  Tabla I'!$C$5:$AD$110,6,FALSE)</f>
        <v>4136638.31</v>
      </c>
      <c r="K44" s="26">
        <f t="shared" si="21"/>
        <v>4954172.48</v>
      </c>
      <c r="L44" s="53">
        <f t="shared" si="22"/>
        <v>0.03075349012600677</v>
      </c>
      <c r="M44" s="29">
        <f t="shared" si="23"/>
        <v>0.010148651741582235</v>
      </c>
      <c r="N44" s="39">
        <f>VLOOKUP(E44,'Participaciones  Tabla I'!$C$5:$AD$110,10,FALSE)</f>
        <v>1794354.82</v>
      </c>
      <c r="O44" s="39">
        <f>VLOOKUP(E44,'Participaciones  Tabla I'!$C$5:$AD$110,11,FALSE)</f>
        <v>3226547.25</v>
      </c>
      <c r="P44" s="26">
        <f t="shared" si="24"/>
        <v>5020902.07</v>
      </c>
      <c r="Q44" s="34">
        <f t="shared" si="25"/>
        <v>0.024786565371081294</v>
      </c>
      <c r="R44" s="51">
        <f t="shared" si="26"/>
        <v>0.008179566572456828</v>
      </c>
      <c r="S44" s="39">
        <f>VLOOKUP(E44,'Participaciones  Tabla I'!$C$5:$AD$110,15,FALSE)</f>
        <v>2258725.44</v>
      </c>
      <c r="T44" s="39">
        <f>VLOOKUP(E44,'Participaciones  Tabla I'!$C$5:$AD$110,16,FALSE)</f>
        <v>3753385.19</v>
      </c>
      <c r="U44" s="26">
        <f t="shared" si="27"/>
        <v>6012110.63</v>
      </c>
      <c r="V44" s="24">
        <f t="shared" si="28"/>
        <v>0.02446641050377042</v>
      </c>
      <c r="W44" s="24">
        <f t="shared" si="29"/>
        <v>0.008318579571281943</v>
      </c>
      <c r="X44" s="24">
        <f t="shared" si="30"/>
        <v>0.026646797885321004</v>
      </c>
      <c r="Y44" s="25">
        <f t="shared" si="31"/>
        <v>0.0011991059048394451</v>
      </c>
      <c r="Z44" s="24">
        <f t="shared" si="32"/>
        <v>4.893282100754084E-4</v>
      </c>
      <c r="AA44" s="37">
        <f>VLOOKUP(D44,'Participaciones  Tabla I'!$B$5:$Y$110,24,FALSE)</f>
        <v>55.3838778121845</v>
      </c>
      <c r="AB44" s="23">
        <f t="shared" si="14"/>
        <v>45255.44779219856</v>
      </c>
      <c r="AC44" s="35">
        <f t="shared" si="15"/>
        <v>0.02956271386442433</v>
      </c>
      <c r="AD44" s="22">
        <f t="shared" si="33"/>
        <v>7.390678466106084E-4</v>
      </c>
      <c r="AE44" s="22">
        <f t="shared" si="34"/>
        <v>0.0033750000000000004</v>
      </c>
      <c r="AF44" s="70">
        <f t="shared" si="35"/>
        <v>0.026802700727095796</v>
      </c>
      <c r="AG44" s="83"/>
      <c r="AH44" s="84"/>
      <c r="AI44" s="82"/>
      <c r="AJ44" s="68"/>
    </row>
    <row r="45" spans="1:36" s="6" customFormat="1" ht="13.5">
      <c r="A45" s="6" t="s">
        <v>59</v>
      </c>
      <c r="B45" s="6" t="s">
        <v>288</v>
      </c>
      <c r="C45" s="6" t="s">
        <v>424</v>
      </c>
      <c r="D45" s="32">
        <v>53</v>
      </c>
      <c r="E45" s="31" t="s">
        <v>288</v>
      </c>
      <c r="F45" s="23">
        <f>VLOOKUP(D45,'Participaciones  Tabla I'!B$5:D$110,3)</f>
        <v>13494</v>
      </c>
      <c r="G45" s="30">
        <f t="shared" si="19"/>
        <v>0.011712413126860173</v>
      </c>
      <c r="H45" s="30">
        <f t="shared" si="20"/>
        <v>0.0074959444011905105</v>
      </c>
      <c r="I45" s="38">
        <f>VLOOKUP(E45,'Participaciones  Tabla I'!$C$5:$AD$110,5,FALSE)</f>
        <v>132395.34</v>
      </c>
      <c r="J45" s="38">
        <f>VLOOKUP(E45,'Participaciones  Tabla I'!$C$5:$AD$110,6,FALSE)</f>
        <v>96550</v>
      </c>
      <c r="K45" s="26">
        <f t="shared" si="21"/>
        <v>228945.34</v>
      </c>
      <c r="L45" s="53">
        <f t="shared" si="22"/>
        <v>0.0014211996618020983</v>
      </c>
      <c r="M45" s="29">
        <f t="shared" si="23"/>
        <v>4.6899588839469244E-4</v>
      </c>
      <c r="N45" s="39">
        <f>VLOOKUP(E45,'Participaciones  Tabla I'!$C$5:$AD$110,10,FALSE)</f>
        <v>89006.56</v>
      </c>
      <c r="O45" s="39">
        <f>VLOOKUP(E45,'Participaciones  Tabla I'!$C$5:$AD$110,11,FALSE)</f>
        <v>287828</v>
      </c>
      <c r="P45" s="26">
        <f t="shared" si="24"/>
        <v>376834.56</v>
      </c>
      <c r="Q45" s="34">
        <f t="shared" si="25"/>
        <v>0.0018603100250315489</v>
      </c>
      <c r="R45" s="51">
        <f t="shared" si="26"/>
        <v>6.139023082604112E-4</v>
      </c>
      <c r="S45" s="39">
        <f>VLOOKUP(E45,'Participaciones  Tabla I'!$C$5:$AD$110,15,FALSE)</f>
        <v>66663.25</v>
      </c>
      <c r="T45" s="39">
        <f>VLOOKUP(E45,'Participaciones  Tabla I'!$C$5:$AD$110,16,FALSE)</f>
        <v>209049</v>
      </c>
      <c r="U45" s="26">
        <f t="shared" si="27"/>
        <v>275712.25</v>
      </c>
      <c r="V45" s="24">
        <f t="shared" si="28"/>
        <v>0.0011220167931969968</v>
      </c>
      <c r="W45" s="24">
        <f t="shared" si="29"/>
        <v>3.814857096869789E-4</v>
      </c>
      <c r="X45" s="24">
        <f t="shared" si="30"/>
        <v>0.0014643839063420824</v>
      </c>
      <c r="Y45" s="25">
        <f t="shared" si="31"/>
        <v>6.58972757853937E-5</v>
      </c>
      <c r="Z45" s="24">
        <f t="shared" si="32"/>
        <v>2.2440335863939937E-5</v>
      </c>
      <c r="AA45" s="37">
        <f>VLOOKUP(D45,'Participaciones  Tabla I'!$B$5:$Y$110,24,FALSE)</f>
        <v>55.2898211359705</v>
      </c>
      <c r="AB45" s="23">
        <f t="shared" si="14"/>
        <v>16338.562762880752</v>
      </c>
      <c r="AC45" s="35">
        <f t="shared" si="15"/>
        <v>0.01067301903922928</v>
      </c>
      <c r="AD45" s="22">
        <f t="shared" si="33"/>
        <v>2.6682547598073204E-4</v>
      </c>
      <c r="AE45" s="22">
        <f t="shared" si="34"/>
        <v>0.0033750000000000004</v>
      </c>
      <c r="AF45" s="70">
        <f t="shared" si="35"/>
        <v>0.011226107488820577</v>
      </c>
      <c r="AG45" s="83"/>
      <c r="AH45" s="84"/>
      <c r="AI45" s="82"/>
      <c r="AJ45" s="68"/>
    </row>
    <row r="46" spans="1:36" s="6" customFormat="1" ht="13.5">
      <c r="A46" s="6" t="s">
        <v>58</v>
      </c>
      <c r="B46" s="6" t="s">
        <v>289</v>
      </c>
      <c r="C46" s="6" t="s">
        <v>423</v>
      </c>
      <c r="D46" s="32">
        <v>54</v>
      </c>
      <c r="E46" s="31" t="s">
        <v>289</v>
      </c>
      <c r="F46" s="23">
        <f>VLOOKUP(D46,'Participaciones  Tabla I'!B$5:D$110,3)</f>
        <v>2990</v>
      </c>
      <c r="G46" s="30">
        <f t="shared" si="19"/>
        <v>0.002595236049304277</v>
      </c>
      <c r="H46" s="30">
        <f t="shared" si="20"/>
        <v>0.0016609510715547373</v>
      </c>
      <c r="I46" s="38">
        <f>VLOOKUP(E46,'Participaciones  Tabla I'!$C$5:$AD$110,5,FALSE)</f>
        <v>34082.02</v>
      </c>
      <c r="J46" s="38">
        <f>VLOOKUP(E46,'Participaciones  Tabla I'!$C$5:$AD$110,6,FALSE)</f>
        <v>0</v>
      </c>
      <c r="K46" s="26">
        <f t="shared" si="21"/>
        <v>34082.02</v>
      </c>
      <c r="L46" s="53">
        <f t="shared" si="22"/>
        <v>2.1156733435820246E-4</v>
      </c>
      <c r="M46" s="29">
        <f t="shared" si="23"/>
        <v>6.981722033820681E-5</v>
      </c>
      <c r="N46" s="39">
        <f>VLOOKUP(E46,'Participaciones  Tabla I'!$C$5:$AD$110,10,FALSE)</f>
        <v>266164.03</v>
      </c>
      <c r="O46" s="39">
        <f>VLOOKUP(E46,'Participaciones  Tabla I'!$C$5:$AD$110,11,FALSE)</f>
        <v>2000</v>
      </c>
      <c r="P46" s="26">
        <f t="shared" si="24"/>
        <v>268164.03</v>
      </c>
      <c r="Q46" s="34">
        <f t="shared" si="25"/>
        <v>0.001323838857460051</v>
      </c>
      <c r="R46" s="51">
        <f t="shared" si="26"/>
        <v>4.3686682296181686E-4</v>
      </c>
      <c r="S46" s="39">
        <f>VLOOKUP(E46,'Participaciones  Tabla I'!$C$5:$AD$110,15,FALSE)</f>
        <v>52408.25</v>
      </c>
      <c r="T46" s="39">
        <f>VLOOKUP(E46,'Participaciones  Tabla I'!$C$5:$AD$110,16,FALSE)</f>
        <v>2000</v>
      </c>
      <c r="U46" s="26">
        <f t="shared" si="27"/>
        <v>54408.25</v>
      </c>
      <c r="V46" s="24">
        <f t="shared" si="28"/>
        <v>2.2141551631623367E-4</v>
      </c>
      <c r="W46" s="24">
        <f t="shared" si="29"/>
        <v>7.528127554751945E-5</v>
      </c>
      <c r="X46" s="24">
        <f t="shared" si="30"/>
        <v>5.819653188475431E-4</v>
      </c>
      <c r="Y46" s="25">
        <f t="shared" si="31"/>
        <v>2.618843934813944E-5</v>
      </c>
      <c r="Z46" s="24">
        <f t="shared" si="32"/>
        <v>4.428310326324674E-6</v>
      </c>
      <c r="AA46" s="37">
        <f>VLOOKUP(D46,'Participaciones  Tabla I'!$B$5:$Y$110,24,FALSE)</f>
        <v>53.9250031289327</v>
      </c>
      <c r="AB46" s="23">
        <f t="shared" si="14"/>
        <v>4214.46343783792</v>
      </c>
      <c r="AC46" s="35">
        <f t="shared" si="15"/>
        <v>0.002753060300650883</v>
      </c>
      <c r="AD46" s="22">
        <f t="shared" si="33"/>
        <v>6.882650751627207E-5</v>
      </c>
      <c r="AE46" s="22">
        <f t="shared" si="34"/>
        <v>0.0033750000000000004</v>
      </c>
      <c r="AF46" s="70">
        <f t="shared" si="35"/>
        <v>0.005135394328745473</v>
      </c>
      <c r="AG46" s="83"/>
      <c r="AH46" s="84"/>
      <c r="AI46" s="82"/>
      <c r="AJ46" s="68"/>
    </row>
    <row r="47" spans="1:36" s="6" customFormat="1" ht="13.5">
      <c r="A47" s="6" t="s">
        <v>57</v>
      </c>
      <c r="B47" s="6" t="s">
        <v>292</v>
      </c>
      <c r="C47" s="6" t="s">
        <v>422</v>
      </c>
      <c r="D47" s="32">
        <v>57</v>
      </c>
      <c r="E47" s="31" t="s">
        <v>292</v>
      </c>
      <c r="F47" s="23">
        <f>VLOOKUP(D47,'Participaciones  Tabla I'!B$5:D$110,3)</f>
        <v>7766</v>
      </c>
      <c r="G47" s="30">
        <f t="shared" si="19"/>
        <v>0.006740669952808366</v>
      </c>
      <c r="H47" s="30">
        <f t="shared" si="20"/>
        <v>0.0043140287697973545</v>
      </c>
      <c r="I47" s="38">
        <f>VLOOKUP(E47,'Participaciones  Tabla I'!$C$5:$AD$110,5,FALSE)</f>
        <v>262459</v>
      </c>
      <c r="J47" s="38">
        <f>VLOOKUP(E47,'Participaciones  Tabla I'!$C$5:$AD$110,6,FALSE)</f>
        <v>250073</v>
      </c>
      <c r="K47" s="26">
        <f t="shared" si="21"/>
        <v>512532</v>
      </c>
      <c r="L47" s="53">
        <f t="shared" si="22"/>
        <v>0.003181590440158131</v>
      </c>
      <c r="M47" s="29">
        <f t="shared" si="23"/>
        <v>0.0010499248452521834</v>
      </c>
      <c r="N47" s="39">
        <f>VLOOKUP(E47,'Participaciones  Tabla I'!$C$5:$AD$110,10,FALSE)</f>
        <v>382979</v>
      </c>
      <c r="O47" s="39">
        <f>VLOOKUP(E47,'Participaciones  Tabla I'!$C$5:$AD$110,11,FALSE)</f>
        <v>293396</v>
      </c>
      <c r="P47" s="26">
        <f t="shared" si="24"/>
        <v>676375</v>
      </c>
      <c r="Q47" s="34">
        <f t="shared" si="25"/>
        <v>0.0033390440441044313</v>
      </c>
      <c r="R47" s="51">
        <f t="shared" si="26"/>
        <v>0.0011018845345544623</v>
      </c>
      <c r="S47" s="39">
        <f>VLOOKUP(E47,'Participaciones  Tabla I'!$C$5:$AD$110,15,FALSE)</f>
        <v>337176</v>
      </c>
      <c r="T47" s="39">
        <f>VLOOKUP(E47,'Participaciones  Tabla I'!$C$5:$AD$110,16,FALSE)</f>
        <v>285325</v>
      </c>
      <c r="U47" s="26">
        <f t="shared" si="27"/>
        <v>622501</v>
      </c>
      <c r="V47" s="24">
        <f t="shared" si="28"/>
        <v>0.002533280896231211</v>
      </c>
      <c r="W47" s="24">
        <f t="shared" si="29"/>
        <v>8.613155047186118E-4</v>
      </c>
      <c r="X47" s="24">
        <f t="shared" si="30"/>
        <v>0.0030131248845252576</v>
      </c>
      <c r="Y47" s="25">
        <f t="shared" si="31"/>
        <v>1.3559061980363658E-4</v>
      </c>
      <c r="Z47" s="24">
        <f t="shared" si="32"/>
        <v>5.066561792462422E-5</v>
      </c>
      <c r="AA47" s="37">
        <f>VLOOKUP(D47,'Participaciones  Tabla I'!$B$5:$Y$110,24,FALSE)</f>
        <v>54.5529252086478</v>
      </c>
      <c r="AB47" s="23">
        <f t="shared" si="14"/>
        <v>10236.318699995747</v>
      </c>
      <c r="AC47" s="35">
        <f t="shared" si="15"/>
        <v>0.006686783039747026</v>
      </c>
      <c r="AD47" s="22">
        <f t="shared" si="33"/>
        <v>1.6716957599367566E-4</v>
      </c>
      <c r="AE47" s="22">
        <f t="shared" si="34"/>
        <v>0.0033750000000000004</v>
      </c>
      <c r="AF47" s="70">
        <f t="shared" si="35"/>
        <v>0.008042454583519291</v>
      </c>
      <c r="AG47" s="83"/>
      <c r="AH47" s="84"/>
      <c r="AI47" s="82"/>
      <c r="AJ47" s="68"/>
    </row>
    <row r="48" spans="1:36" s="6" customFormat="1" ht="13.5">
      <c r="A48" s="6" t="s">
        <v>56</v>
      </c>
      <c r="B48" s="6" t="s">
        <v>293</v>
      </c>
      <c r="C48" s="6" t="s">
        <v>421</v>
      </c>
      <c r="D48" s="32">
        <v>58</v>
      </c>
      <c r="E48" s="31" t="s">
        <v>293</v>
      </c>
      <c r="F48" s="23">
        <f>VLOOKUP(D48,'Participaciones  Tabla I'!B$5:D$110,3)</f>
        <v>25954</v>
      </c>
      <c r="G48" s="30">
        <f t="shared" si="19"/>
        <v>0.0225273432854994</v>
      </c>
      <c r="H48" s="30">
        <f t="shared" si="20"/>
        <v>0.014417499702719617</v>
      </c>
      <c r="I48" s="38">
        <f>VLOOKUP(E48,'Participaciones  Tabla I'!$C$5:$AD$110,5,FALSE)</f>
        <v>903072</v>
      </c>
      <c r="J48" s="38">
        <f>VLOOKUP(E48,'Participaciones  Tabla I'!$C$5:$AD$110,6,FALSE)</f>
        <v>708659.50</v>
      </c>
      <c r="K48" s="26">
        <f t="shared" si="21"/>
        <v>1611731.50</v>
      </c>
      <c r="L48" s="53">
        <f t="shared" si="22"/>
        <v>0.010004974386968473</v>
      </c>
      <c r="M48" s="29">
        <f t="shared" si="23"/>
        <v>0.0033016415476995963</v>
      </c>
      <c r="N48" s="39">
        <f>VLOOKUP(E48,'Participaciones  Tabla I'!$C$5:$AD$110,10,FALSE)</f>
        <v>1100162.6</v>
      </c>
      <c r="O48" s="39">
        <f>VLOOKUP(E48,'Participaciones  Tabla I'!$C$5:$AD$110,11,FALSE)</f>
        <v>1121262.50</v>
      </c>
      <c r="P48" s="26">
        <f t="shared" si="24"/>
        <v>2221425.10</v>
      </c>
      <c r="Q48" s="34">
        <f t="shared" si="25"/>
        <v>0.0109664553680711</v>
      </c>
      <c r="R48" s="51">
        <f t="shared" si="26"/>
        <v>0.003618930271463463</v>
      </c>
      <c r="S48" s="39">
        <f>VLOOKUP(E48,'Participaciones  Tabla I'!$C$5:$AD$110,15,FALSE)</f>
        <v>661995</v>
      </c>
      <c r="T48" s="39">
        <f>VLOOKUP(E48,'Participaciones  Tabla I'!$C$5:$AD$110,16,FALSE)</f>
        <v>688815.50</v>
      </c>
      <c r="U48" s="26">
        <f t="shared" si="27"/>
        <v>1350810.50</v>
      </c>
      <c r="V48" s="24">
        <f t="shared" si="28"/>
        <v>0.005497151705906545</v>
      </c>
      <c r="W48" s="24">
        <f t="shared" si="29"/>
        <v>0.0018690315800082252</v>
      </c>
      <c r="X48" s="24">
        <f t="shared" si="30"/>
        <v>0.008789603399171285</v>
      </c>
      <c r="Y48" s="25">
        <f t="shared" si="31"/>
        <v>3.955321529627078E-4</v>
      </c>
      <c r="Z48" s="24">
        <f t="shared" si="32"/>
        <v>1.0994303411813089E-4</v>
      </c>
      <c r="AA48" s="37">
        <f>VLOOKUP(D48,'Participaciones  Tabla I'!$B$5:$Y$110,24,FALSE)</f>
        <v>53.4322397498304</v>
      </c>
      <c r="AB48" s="23">
        <f t="shared" si="14"/>
        <v>38444.77497199045</v>
      </c>
      <c r="AC48" s="35">
        <f t="shared" si="15"/>
        <v>0.02511370315675141</v>
      </c>
      <c r="AD48" s="22">
        <f t="shared" si="33"/>
        <v>6.278425789187853E-4</v>
      </c>
      <c r="AE48" s="22">
        <f t="shared" si="34"/>
        <v>0.0033750000000000004</v>
      </c>
      <c r="AF48" s="70">
        <f t="shared" si="35"/>
        <v>0.01892581746871924</v>
      </c>
      <c r="AG48" s="83"/>
      <c r="AH48" s="84"/>
      <c r="AI48" s="82"/>
      <c r="AJ48" s="68"/>
    </row>
    <row r="49" spans="1:36" s="6" customFormat="1" ht="13.5">
      <c r="A49" s="6" t="s">
        <v>55</v>
      </c>
      <c r="B49" s="6" t="s">
        <v>294</v>
      </c>
      <c r="C49" s="6" t="s">
        <v>420</v>
      </c>
      <c r="D49" s="32">
        <v>59</v>
      </c>
      <c r="E49" s="33" t="s">
        <v>294</v>
      </c>
      <c r="F49" s="23">
        <f>VLOOKUP(D49,'Participaciones  Tabla I'!B$5:D$110,3)</f>
        <v>66008</v>
      </c>
      <c r="G49" s="30">
        <f t="shared" si="19"/>
        <v>0.057293090683102586</v>
      </c>
      <c r="H49" s="30">
        <f t="shared" si="20"/>
        <v>0.03666757803718566</v>
      </c>
      <c r="I49" s="38">
        <f>VLOOKUP(E49,'Participaciones  Tabla I'!$C$5:$AD$110,5,FALSE)</f>
        <v>2.40427825E7</v>
      </c>
      <c r="J49" s="38">
        <f>VLOOKUP(E49,'Participaciones  Tabla I'!$C$5:$AD$110,6,FALSE)</f>
        <v>3.485053963E7</v>
      </c>
      <c r="K49" s="26">
        <f t="shared" si="21"/>
        <v>5.889332213E7</v>
      </c>
      <c r="L49" s="53">
        <f t="shared" si="22"/>
        <v>0.3655858184034584</v>
      </c>
      <c r="M49" s="29">
        <f t="shared" si="23"/>
        <v>0.12064332007314127</v>
      </c>
      <c r="N49" s="39">
        <f>VLOOKUP(E49,'Participaciones  Tabla I'!$C$5:$AD$110,10,FALSE)</f>
        <v>2.649608559E7</v>
      </c>
      <c r="O49" s="39">
        <f>VLOOKUP(E49,'Participaciones  Tabla I'!$C$5:$AD$110,11,FALSE)</f>
        <v>3.970804916E7</v>
      </c>
      <c r="P49" s="26">
        <f t="shared" si="24"/>
        <v>6.620413475E7</v>
      </c>
      <c r="Q49" s="34">
        <f t="shared" si="25"/>
        <v>0.32682834497442204</v>
      </c>
      <c r="R49" s="51">
        <f t="shared" si="26"/>
        <v>0.10785335384155928</v>
      </c>
      <c r="S49" s="39">
        <f>VLOOKUP(E49,'Participaciones  Tabla I'!$C$5:$AD$110,15,FALSE)</f>
        <v>3.405783023E7</v>
      </c>
      <c r="T49" s="39">
        <f>VLOOKUP(E49,'Participaciones  Tabla I'!$C$5:$AD$110,16,FALSE)</f>
        <v>4.358971708E7</v>
      </c>
      <c r="U49" s="26">
        <f t="shared" si="27"/>
        <v>7.764754731E7</v>
      </c>
      <c r="V49" s="24">
        <f t="shared" si="28"/>
        <v>0.31598832490169837</v>
      </c>
      <c r="W49" s="24">
        <f t="shared" si="29"/>
        <v>0.10743603046657746</v>
      </c>
      <c r="X49" s="24">
        <f t="shared" si="30"/>
        <v>0.335932704381278</v>
      </c>
      <c r="Y49" s="25">
        <f t="shared" si="31"/>
        <v>0.015116971697157509</v>
      </c>
      <c r="Z49" s="24">
        <f t="shared" si="32"/>
        <v>0.0063197664980339675</v>
      </c>
      <c r="AA49" s="37">
        <f>VLOOKUP(D49,'Participaciones  Tabla I'!$B$5:$Y$110,24,FALSE)</f>
        <v>57.6372012213706</v>
      </c>
      <c r="AB49" s="23">
        <f t="shared" si="14"/>
        <v>57362.5033311343</v>
      </c>
      <c r="AC49" s="35">
        <f t="shared" si="15"/>
        <v>0.037471538903162564</v>
      </c>
      <c r="AD49" s="22">
        <f t="shared" si="33"/>
        <v>9.367884725790641E-4</v>
      </c>
      <c r="AE49" s="22">
        <f t="shared" si="34"/>
        <v>0.0033750000000000004</v>
      </c>
      <c r="AF49" s="70">
        <f t="shared" si="35"/>
        <v>0.062416104704956205</v>
      </c>
      <c r="AG49" s="83"/>
      <c r="AH49" s="84"/>
      <c r="AI49" s="82"/>
      <c r="AJ49" s="68"/>
    </row>
    <row r="50" spans="1:36" s="6" customFormat="1" ht="13.5">
      <c r="A50" s="6" t="s">
        <v>54</v>
      </c>
      <c r="B50" s="6" t="s">
        <v>295</v>
      </c>
      <c r="C50" s="6" t="s">
        <v>419</v>
      </c>
      <c r="D50" s="32">
        <v>60</v>
      </c>
      <c r="E50" s="31" t="s">
        <v>295</v>
      </c>
      <c r="F50" s="23">
        <f>VLOOKUP(D50,'Participaciones  Tabla I'!B$5:D$110,3)</f>
        <v>976</v>
      </c>
      <c r="G50" s="30">
        <f t="shared" si="19"/>
        <v>8.47140596695978E-4</v>
      </c>
      <c r="H50" s="30">
        <f t="shared" si="20"/>
        <v>5.421699818854259E-4</v>
      </c>
      <c r="I50" s="38">
        <f>VLOOKUP(E50,'Participaciones  Tabla I'!$C$5:$AD$110,5,FALSE)</f>
        <v>7092</v>
      </c>
      <c r="J50" s="38">
        <f>VLOOKUP(E50,'Participaciones  Tabla I'!$C$5:$AD$110,6,FALSE)</f>
        <v>0</v>
      </c>
      <c r="K50" s="26">
        <f t="shared" si="21"/>
        <v>7092</v>
      </c>
      <c r="L50" s="53">
        <f t="shared" si="22"/>
        <v>4.402425487891774E-5</v>
      </c>
      <c r="M50" s="29">
        <f t="shared" si="23"/>
        <v>1.4528004110042854E-5</v>
      </c>
      <c r="N50" s="39">
        <f>VLOOKUP(E50,'Participaciones  Tabla I'!$C$5:$AD$110,10,FALSE)</f>
        <v>0</v>
      </c>
      <c r="O50" s="39">
        <f>VLOOKUP(E50,'Participaciones  Tabla I'!$C$5:$AD$110,11,FALSE)</f>
        <v>0</v>
      </c>
      <c r="P50" s="26">
        <f t="shared" si="24"/>
        <v>0</v>
      </c>
      <c r="Q50" s="34">
        <f t="shared" si="25"/>
        <v>0</v>
      </c>
      <c r="R50" s="51">
        <f t="shared" si="26"/>
        <v>0</v>
      </c>
      <c r="S50" s="39">
        <f>VLOOKUP(E50,'Participaciones  Tabla I'!$C$5:$AD$110,15,FALSE)</f>
        <v>0</v>
      </c>
      <c r="T50" s="39">
        <f>VLOOKUP(E50,'Participaciones  Tabla I'!$C$5:$AD$110,16,FALSE)</f>
        <v>0</v>
      </c>
      <c r="U50" s="26">
        <f t="shared" si="27"/>
        <v>0</v>
      </c>
      <c r="V50" s="24">
        <f t="shared" si="28"/>
        <v>0</v>
      </c>
      <c r="W50" s="24">
        <f t="shared" si="29"/>
        <v>0</v>
      </c>
      <c r="X50" s="24">
        <f t="shared" si="30"/>
        <v>1.4528004110042854E-5</v>
      </c>
      <c r="Y50" s="25">
        <f t="shared" si="31"/>
        <v>6.537601849519284E-7</v>
      </c>
      <c r="Z50" s="24">
        <f t="shared" si="32"/>
        <v>0</v>
      </c>
      <c r="AA50" s="37">
        <f>VLOOKUP(D50,'Participaciones  Tabla I'!$B$5:$Y$110,24,FALSE)</f>
        <v>53.3604242980965</v>
      </c>
      <c r="AB50" s="23">
        <f t="shared" si="14"/>
        <v>1455.9208888644173</v>
      </c>
      <c r="AC50" s="35">
        <f t="shared" si="15"/>
        <v>9.510672139268236E-4</v>
      </c>
      <c r="AD50" s="22">
        <f t="shared" si="33"/>
        <v>2.3776680348170593E-5</v>
      </c>
      <c r="AE50" s="22">
        <f t="shared" si="34"/>
        <v>0.0033750000000000004</v>
      </c>
      <c r="AF50" s="70">
        <f t="shared" si="35"/>
        <v>0.003941600422418549</v>
      </c>
      <c r="AG50" s="83"/>
      <c r="AH50" s="84"/>
      <c r="AI50" s="82"/>
      <c r="AJ50" s="68"/>
    </row>
    <row r="51" spans="1:36" s="6" customFormat="1" ht="13.5">
      <c r="A51" s="6" t="s">
        <v>53</v>
      </c>
      <c r="B51" s="6" t="s">
        <v>297</v>
      </c>
      <c r="C51" s="6" t="s">
        <v>418</v>
      </c>
      <c r="D51" s="32">
        <v>62</v>
      </c>
      <c r="E51" s="31" t="s">
        <v>297</v>
      </c>
      <c r="F51" s="23">
        <f>VLOOKUP(D51,'Participaciones  Tabla I'!B$5:D$110,3)</f>
        <v>4962</v>
      </c>
      <c r="G51" s="30">
        <f t="shared" si="19"/>
        <v>0.004306876681153118</v>
      </c>
      <c r="H51" s="30">
        <f t="shared" si="20"/>
        <v>0.0027564010759379954</v>
      </c>
      <c r="I51" s="38">
        <f>VLOOKUP(E51,'Participaciones  Tabla I'!$C$5:$AD$110,5,FALSE)</f>
        <v>83840</v>
      </c>
      <c r="J51" s="38">
        <f>VLOOKUP(E51,'Participaciones  Tabla I'!$C$5:$AD$110,6,FALSE)</f>
        <v>20662</v>
      </c>
      <c r="K51" s="26">
        <f t="shared" si="21"/>
        <v>104502</v>
      </c>
      <c r="L51" s="53">
        <f t="shared" si="22"/>
        <v>6.487059621202286E-4</v>
      </c>
      <c r="M51" s="29">
        <f t="shared" si="23"/>
        <v>2.1407296749967545E-4</v>
      </c>
      <c r="N51" s="39">
        <f>VLOOKUP(E51,'Participaciones  Tabla I'!$C$5:$AD$110,10,FALSE)</f>
        <v>42638</v>
      </c>
      <c r="O51" s="39">
        <f>VLOOKUP(E51,'Participaciones  Tabla I'!$C$5:$AD$110,11,FALSE)</f>
        <v>62418</v>
      </c>
      <c r="P51" s="26">
        <f t="shared" si="24"/>
        <v>105056</v>
      </c>
      <c r="Q51" s="34">
        <f t="shared" si="25"/>
        <v>5.186274050599669E-4</v>
      </c>
      <c r="R51" s="51">
        <f t="shared" si="26"/>
        <v>1.711470436697891E-4</v>
      </c>
      <c r="S51" s="39">
        <f>VLOOKUP(E51,'Participaciones  Tabla I'!$C$5:$AD$110,15,FALSE)</f>
        <v>31021</v>
      </c>
      <c r="T51" s="39">
        <f>VLOOKUP(E51,'Participaciones  Tabla I'!$C$5:$AD$110,16,FALSE)</f>
        <v>31756</v>
      </c>
      <c r="U51" s="26">
        <f t="shared" si="27"/>
        <v>62777</v>
      </c>
      <c r="V51" s="24">
        <f t="shared" si="28"/>
        <v>2.554723202415847E-4</v>
      </c>
      <c r="W51" s="24">
        <f t="shared" si="29"/>
        <v>8.68605888821388E-5</v>
      </c>
      <c r="X51" s="24">
        <f t="shared" si="30"/>
        <v>4.720806000516034E-4</v>
      </c>
      <c r="Y51" s="25">
        <f t="shared" si="31"/>
        <v>2.1243627002322153E-5</v>
      </c>
      <c r="Z51" s="24">
        <f t="shared" si="32"/>
        <v>5.109446404831694E-6</v>
      </c>
      <c r="AA51" s="37">
        <f>VLOOKUP(D51,'Participaciones  Tabla I'!$B$5:$Y$110,24,FALSE)</f>
        <v>53.8611209868849</v>
      </c>
      <c r="AB51" s="23">
        <f t="shared" si="14"/>
        <v>7040.188731744027</v>
      </c>
      <c r="AC51" s="35">
        <f t="shared" si="15"/>
        <v>0.004598939910698915</v>
      </c>
      <c r="AD51" s="22">
        <f t="shared" si="33"/>
        <v>1.149734977674729E-4</v>
      </c>
      <c r="AE51" s="22">
        <f t="shared" si="34"/>
        <v>0.0033750000000000004</v>
      </c>
      <c r="AF51" s="70">
        <f t="shared" si="35"/>
        <v>0.006272727647112623</v>
      </c>
      <c r="AG51" s="83"/>
      <c r="AH51" s="84"/>
      <c r="AI51" s="82"/>
      <c r="AJ51" s="68"/>
    </row>
    <row r="52" spans="1:36" s="6" customFormat="1" ht="13.5">
      <c r="A52" s="6" t="s">
        <v>52</v>
      </c>
      <c r="B52" s="6" t="s">
        <v>298</v>
      </c>
      <c r="C52" s="6" t="s">
        <v>417</v>
      </c>
      <c r="D52" s="32">
        <v>63</v>
      </c>
      <c r="E52" s="31" t="s">
        <v>298</v>
      </c>
      <c r="F52" s="23">
        <f>VLOOKUP(D52,'Participaciones  Tabla I'!B$5:D$110,3)</f>
        <v>5631</v>
      </c>
      <c r="G52" s="30">
        <f t="shared" si="19"/>
        <v>0.004887549897535914</v>
      </c>
      <c r="H52" s="30">
        <f t="shared" si="20"/>
        <v>0.003128031934422985</v>
      </c>
      <c r="I52" s="38">
        <f>VLOOKUP(E52,'Participaciones  Tabla I'!$C$5:$AD$110,5,FALSE)</f>
        <v>57225</v>
      </c>
      <c r="J52" s="38">
        <f>VLOOKUP(E52,'Participaciones  Tabla I'!$C$5:$AD$110,6,FALSE)</f>
        <v>530</v>
      </c>
      <c r="K52" s="26">
        <f t="shared" si="21"/>
        <v>57755</v>
      </c>
      <c r="L52" s="53">
        <f t="shared" si="22"/>
        <v>3.585195770631548E-4</v>
      </c>
      <c r="M52" s="29">
        <f t="shared" si="23"/>
        <v>1.1831146043084109E-4</v>
      </c>
      <c r="N52" s="39">
        <f>VLOOKUP(E52,'Participaciones  Tabla I'!$C$5:$AD$110,10,FALSE)</f>
        <v>154037.19</v>
      </c>
      <c r="O52" s="39">
        <f>VLOOKUP(E52,'Participaciones  Tabla I'!$C$5:$AD$110,11,FALSE)</f>
        <v>0</v>
      </c>
      <c r="P52" s="26">
        <f t="shared" si="24"/>
        <v>154037.19</v>
      </c>
      <c r="Q52" s="34">
        <f t="shared" si="25"/>
        <v>7.604316567585772E-4</v>
      </c>
      <c r="R52" s="51">
        <f t="shared" si="26"/>
        <v>2.509424467303305E-4</v>
      </c>
      <c r="S52" s="39">
        <f>VLOOKUP(E52,'Participaciones  Tabla I'!$C$5:$AD$110,15,FALSE)</f>
        <v>158363.19</v>
      </c>
      <c r="T52" s="39">
        <f>VLOOKUP(E52,'Participaciones  Tabla I'!$C$5:$AD$110,16,FALSE)</f>
        <v>0</v>
      </c>
      <c r="U52" s="26">
        <f t="shared" si="27"/>
        <v>158363.19</v>
      </c>
      <c r="V52" s="24">
        <f t="shared" si="28"/>
        <v>6.444623284030604E-4</v>
      </c>
      <c r="W52" s="24">
        <f t="shared" si="29"/>
        <v>2.1911719165704056E-4</v>
      </c>
      <c r="X52" s="24">
        <f t="shared" si="30"/>
        <v>5.883710988182122E-4</v>
      </c>
      <c r="Y52" s="25">
        <f t="shared" si="31"/>
        <v>2.6476699446819547E-5</v>
      </c>
      <c r="Z52" s="24">
        <f t="shared" si="32"/>
        <v>1.2889246568061209E-5</v>
      </c>
      <c r="AA52" s="37">
        <f>VLOOKUP(D52,'Participaciones  Tabla I'!$B$5:$Y$110,24,FALSE)</f>
        <v>53.7658150156367</v>
      </c>
      <c r="AB52" s="23">
        <f t="shared" si="14"/>
        <v>8067.518686195876</v>
      </c>
      <c r="AC52" s="35">
        <f t="shared" si="15"/>
        <v>0.00527003395505058</v>
      </c>
      <c r="AD52" s="22">
        <f t="shared" si="33"/>
        <v>1.317508488762645E-4</v>
      </c>
      <c r="AE52" s="22">
        <f t="shared" si="34"/>
        <v>0.0033750000000000004</v>
      </c>
      <c r="AF52" s="70">
        <f t="shared" si="35"/>
        <v>0.006674148729314131</v>
      </c>
      <c r="AG52" s="83"/>
      <c r="AH52" s="84"/>
      <c r="AI52" s="82"/>
      <c r="AJ52" s="68"/>
    </row>
    <row r="53" spans="1:36" s="6" customFormat="1" ht="13.5">
      <c r="A53" s="6" t="s">
        <v>51</v>
      </c>
      <c r="B53" s="6" t="s">
        <v>299</v>
      </c>
      <c r="C53" s="6" t="s">
        <v>416</v>
      </c>
      <c r="D53" s="32">
        <v>64</v>
      </c>
      <c r="E53" s="31" t="s">
        <v>299</v>
      </c>
      <c r="F53" s="23">
        <f>VLOOKUP(D53,'Participaciones  Tabla I'!B$5:D$110,3)</f>
        <v>1701</v>
      </c>
      <c r="G53" s="30">
        <f t="shared" si="19"/>
        <v>0.001476420240758052</v>
      </c>
      <c r="H53" s="30">
        <f t="shared" si="20"/>
        <v>9.449089540851533E-4</v>
      </c>
      <c r="I53" s="38">
        <f>VLOOKUP(E53,'Participaciones  Tabla I'!$C$5:$AD$110,5,FALSE)</f>
        <v>0</v>
      </c>
      <c r="J53" s="38">
        <f>VLOOKUP(E53,'Participaciones  Tabla I'!$C$5:$AD$110,6,FALSE)</f>
        <v>0</v>
      </c>
      <c r="K53" s="26">
        <f t="shared" si="21"/>
        <v>0</v>
      </c>
      <c r="L53" s="53">
        <f t="shared" si="22"/>
        <v>0</v>
      </c>
      <c r="M53" s="29">
        <f t="shared" si="23"/>
        <v>0</v>
      </c>
      <c r="N53" s="39">
        <f>VLOOKUP(E53,'Participaciones  Tabla I'!$C$5:$AD$110,10,FALSE)</f>
        <v>0</v>
      </c>
      <c r="O53" s="39">
        <f>VLOOKUP(E53,'Participaciones  Tabla I'!$C$5:$AD$110,11,FALSE)</f>
        <v>0</v>
      </c>
      <c r="P53" s="26">
        <f t="shared" si="24"/>
        <v>0</v>
      </c>
      <c r="Q53" s="34">
        <f t="shared" si="25"/>
        <v>0</v>
      </c>
      <c r="R53" s="51">
        <f t="shared" si="26"/>
        <v>0</v>
      </c>
      <c r="S53" s="39">
        <f>VLOOKUP(E53,'Participaciones  Tabla I'!$C$5:$AD$110,15,FALSE)</f>
        <v>0</v>
      </c>
      <c r="T53" s="39">
        <f>VLOOKUP(E53,'Participaciones  Tabla I'!$C$5:$AD$110,16,FALSE)</f>
        <v>0</v>
      </c>
      <c r="U53" s="26">
        <f t="shared" si="27"/>
        <v>0</v>
      </c>
      <c r="V53" s="24">
        <f t="shared" si="28"/>
        <v>0</v>
      </c>
      <c r="W53" s="24">
        <f t="shared" si="29"/>
        <v>0</v>
      </c>
      <c r="X53" s="24">
        <f t="shared" si="30"/>
        <v>0</v>
      </c>
      <c r="Y53" s="25">
        <f t="shared" si="31"/>
        <v>0</v>
      </c>
      <c r="Z53" s="24">
        <f t="shared" si="32"/>
        <v>0</v>
      </c>
      <c r="AA53" s="37">
        <f>VLOOKUP(D53,'Participaciones  Tabla I'!$B$5:$Y$110,24,FALSE)</f>
        <v>53.8418070724091</v>
      </c>
      <c r="AB53" s="23">
        <f t="shared" si="14"/>
        <v>2418.197546327555</v>
      </c>
      <c r="AC53" s="35">
        <f t="shared" si="15"/>
        <v>0.001579665777653805</v>
      </c>
      <c r="AD53" s="22">
        <f t="shared" si="33"/>
        <v>3.949164444134513E-5</v>
      </c>
      <c r="AE53" s="22">
        <f t="shared" si="34"/>
        <v>0.0033750000000000004</v>
      </c>
      <c r="AF53" s="70">
        <f t="shared" si="35"/>
        <v>0.004359400598526499</v>
      </c>
      <c r="AG53" s="83"/>
      <c r="AH53" s="84"/>
      <c r="AI53" s="82"/>
      <c r="AJ53" s="68"/>
    </row>
    <row r="54" spans="1:36" s="6" customFormat="1" ht="13.5">
      <c r="A54" s="6" t="s">
        <v>50</v>
      </c>
      <c r="B54" s="6" t="s">
        <v>301</v>
      </c>
      <c r="C54" s="6" t="s">
        <v>415</v>
      </c>
      <c r="D54" s="32">
        <v>66</v>
      </c>
      <c r="E54" s="31" t="s">
        <v>301</v>
      </c>
      <c r="F54" s="23">
        <f>VLOOKUP(D54,'Participaciones  Tabla I'!B$5:D$110,3)</f>
        <v>4220</v>
      </c>
      <c r="G54" s="30">
        <f t="shared" si="19"/>
        <v>0.003662841514402692</v>
      </c>
      <c r="H54" s="30">
        <f t="shared" si="20"/>
        <v>0.0023442185692177228</v>
      </c>
      <c r="I54" s="38">
        <f>VLOOKUP(E54,'Participaciones  Tabla I'!$C$5:$AD$110,5,FALSE)</f>
        <v>355436</v>
      </c>
      <c r="J54" s="38">
        <f>VLOOKUP(E54,'Participaciones  Tabla I'!$C$5:$AD$110,6,FALSE)</f>
        <v>10620</v>
      </c>
      <c r="K54" s="26">
        <f t="shared" si="21"/>
        <v>366056</v>
      </c>
      <c r="L54" s="53">
        <f t="shared" si="22"/>
        <v>0.0022723269379522153</v>
      </c>
      <c r="M54" s="29">
        <f t="shared" si="23"/>
        <v>7.498678895242311E-4</v>
      </c>
      <c r="N54" s="39">
        <f>VLOOKUP(E54,'Participaciones  Tabla I'!$C$5:$AD$110,10,FALSE)</f>
        <v>265389.88</v>
      </c>
      <c r="O54" s="39">
        <f>VLOOKUP(E54,'Participaciones  Tabla I'!$C$5:$AD$110,11,FALSE)</f>
        <v>11310</v>
      </c>
      <c r="P54" s="26">
        <f t="shared" si="24"/>
        <v>276699.88</v>
      </c>
      <c r="Q54" s="34">
        <f t="shared" si="25"/>
        <v>0.0013659775809549597</v>
      </c>
      <c r="R54" s="51">
        <f t="shared" si="26"/>
        <v>4.507726017151367E-4</v>
      </c>
      <c r="S54" s="39">
        <f>VLOOKUP(E54,'Participaciones  Tabla I'!$C$5:$AD$110,15,FALSE)</f>
        <v>474458.38</v>
      </c>
      <c r="T54" s="39">
        <f>VLOOKUP(E54,'Participaciones  Tabla I'!$C$5:$AD$110,16,FALSE)</f>
        <v>11260</v>
      </c>
      <c r="U54" s="26">
        <f t="shared" si="27"/>
        <v>485718.38</v>
      </c>
      <c r="V54" s="24">
        <f t="shared" si="28"/>
        <v>0.001976641150781078</v>
      </c>
      <c r="W54" s="24">
        <f t="shared" si="29"/>
        <v>6.720579912655666E-4</v>
      </c>
      <c r="X54" s="24">
        <f t="shared" si="30"/>
        <v>0.0018726984825049343</v>
      </c>
      <c r="Y54" s="25">
        <f t="shared" si="31"/>
        <v>8.427143171272204E-5</v>
      </c>
      <c r="Z54" s="24">
        <f t="shared" si="32"/>
        <v>3.953282301562156E-5</v>
      </c>
      <c r="AA54" s="37">
        <f>VLOOKUP(D54,'Participaciones  Tabla I'!$B$5:$Y$110,24,FALSE)</f>
        <v>51.8906868964079</v>
      </c>
      <c r="AB54" s="23">
        <f t="shared" si="14"/>
        <v>7198.121468866298</v>
      </c>
      <c r="AC54" s="35">
        <f t="shared" si="15"/>
        <v>0.0047021080494566965</v>
      </c>
      <c r="AD54" s="22">
        <f t="shared" si="33"/>
        <v>1.1755270123641742E-4</v>
      </c>
      <c r="AE54" s="22">
        <f t="shared" si="34"/>
        <v>0.0033750000000000004</v>
      </c>
      <c r="AF54" s="70">
        <f t="shared" si="35"/>
        <v>0.0059605755251824835</v>
      </c>
      <c r="AG54" s="83"/>
      <c r="AH54" s="84"/>
      <c r="AI54" s="82"/>
      <c r="AJ54" s="68"/>
    </row>
    <row r="55" spans="1:36" s="6" customFormat="1" ht="13.5">
      <c r="A55" s="6" t="s">
        <v>49</v>
      </c>
      <c r="B55" s="6" t="s">
        <v>304</v>
      </c>
      <c r="C55" s="6" t="s">
        <v>414</v>
      </c>
      <c r="D55" s="32">
        <v>69</v>
      </c>
      <c r="E55" s="31" t="s">
        <v>304</v>
      </c>
      <c r="F55" s="23">
        <f>VLOOKUP(D55,'Participaciones  Tabla I'!B$5:D$110,3)</f>
        <v>8967</v>
      </c>
      <c r="G55" s="30">
        <f t="shared" si="19"/>
        <v>0.0077831042321442985</v>
      </c>
      <c r="H55" s="30">
        <f t="shared" si="20"/>
        <v>0.004981186708572351</v>
      </c>
      <c r="I55" s="38">
        <f>VLOOKUP(E55,'Participaciones  Tabla I'!$C$5:$AD$110,5,FALSE)</f>
        <v>22345</v>
      </c>
      <c r="J55" s="38">
        <f>VLOOKUP(E55,'Participaciones  Tabla I'!$C$5:$AD$110,6,FALSE)</f>
        <v>12380</v>
      </c>
      <c r="K55" s="26">
        <f t="shared" si="21"/>
        <v>34725</v>
      </c>
      <c r="L55" s="53">
        <f t="shared" si="22"/>
        <v>2.1555869298793266E-4</v>
      </c>
      <c r="M55" s="29">
        <f t="shared" si="23"/>
        <v>7.113436868601778E-5</v>
      </c>
      <c r="N55" s="39">
        <f>VLOOKUP(E55,'Participaciones  Tabla I'!$C$5:$AD$110,10,FALSE)</f>
        <v>68920</v>
      </c>
      <c r="O55" s="39">
        <f>VLOOKUP(E55,'Participaciones  Tabla I'!$C$5:$AD$110,11,FALSE)</f>
        <v>18865</v>
      </c>
      <c r="P55" s="26">
        <f t="shared" si="24"/>
        <v>87785</v>
      </c>
      <c r="Q55" s="34">
        <f t="shared" si="25"/>
        <v>4.3336607859797814E-4</v>
      </c>
      <c r="R55" s="51">
        <f t="shared" si="26"/>
        <v>1.430108059373328E-4</v>
      </c>
      <c r="S55" s="39">
        <f>VLOOKUP(E55,'Participaciones  Tabla I'!$C$5:$AD$110,15,FALSE)</f>
        <v>62903</v>
      </c>
      <c r="T55" s="39">
        <f>VLOOKUP(E55,'Participaciones  Tabla I'!$C$5:$AD$110,16,FALSE)</f>
        <v>5820</v>
      </c>
      <c r="U55" s="26">
        <f t="shared" si="27"/>
        <v>68723</v>
      </c>
      <c r="V55" s="24">
        <f t="shared" si="28"/>
        <v>2.7966969214779976E-4</v>
      </c>
      <c r="W55" s="24">
        <f t="shared" si="29"/>
        <v>9.508769533025193E-5</v>
      </c>
      <c r="X55" s="24">
        <f t="shared" si="30"/>
        <v>3.092328699536025E-4</v>
      </c>
      <c r="Y55" s="25">
        <f t="shared" si="31"/>
        <v>1.391547914791211E-5</v>
      </c>
      <c r="Z55" s="24">
        <f t="shared" si="32"/>
        <v>5.593393842955995E-6</v>
      </c>
      <c r="AA55" s="37">
        <f>VLOOKUP(D55,'Participaciones  Tabla I'!$B$5:$Y$110,24,FALSE)</f>
        <v>52.1657962742296</v>
      </c>
      <c r="AB55" s="23">
        <f t="shared" si="14"/>
        <v>14935.973780187944</v>
      </c>
      <c r="AC55" s="35">
        <f t="shared" si="15"/>
        <v>0.009756790412896045</v>
      </c>
      <c r="AD55" s="22">
        <f t="shared" si="33"/>
        <v>2.4391976032240114E-4</v>
      </c>
      <c r="AE55" s="22">
        <f t="shared" si="34"/>
        <v>0.0033750000000000004</v>
      </c>
      <c r="AF55" s="70">
        <f t="shared" si="35"/>
        <v>0.008619615341885621</v>
      </c>
      <c r="AG55" s="83"/>
      <c r="AH55" s="84"/>
      <c r="AI55" s="82"/>
      <c r="AJ55" s="68"/>
    </row>
    <row r="56" spans="1:36" s="6" customFormat="1" ht="13.5">
      <c r="A56" s="6" t="s">
        <v>48</v>
      </c>
      <c r="B56" s="6" t="s">
        <v>305</v>
      </c>
      <c r="C56" s="6" t="s">
        <v>413</v>
      </c>
      <c r="D56" s="32">
        <v>70</v>
      </c>
      <c r="E56" s="31" t="s">
        <v>305</v>
      </c>
      <c r="F56" s="23">
        <f>VLOOKUP(D56,'Participaciones  Tabla I'!B$5:D$110,3)</f>
        <v>3971</v>
      </c>
      <c r="G56" s="30">
        <f t="shared" si="19"/>
        <v>0.0034467165056144763</v>
      </c>
      <c r="H56" s="30">
        <f t="shared" si="20"/>
        <v>0.002205898563593265</v>
      </c>
      <c r="I56" s="38">
        <f>VLOOKUP(E56,'Participaciones  Tabla I'!$C$5:$AD$110,5,FALSE)</f>
        <v>76656.70</v>
      </c>
      <c r="J56" s="38">
        <f>VLOOKUP(E56,'Participaciones  Tabla I'!$C$5:$AD$110,6,FALSE)</f>
        <v>390060</v>
      </c>
      <c r="K56" s="26">
        <f t="shared" si="21"/>
        <v>466716.70</v>
      </c>
      <c r="L56" s="53">
        <f t="shared" si="22"/>
        <v>0.0028971876701984474</v>
      </c>
      <c r="M56" s="29">
        <f t="shared" si="23"/>
        <v>9.560719311654877E-4</v>
      </c>
      <c r="N56" s="39">
        <f>VLOOKUP(E56,'Participaciones  Tabla I'!$C$5:$AD$110,10,FALSE)</f>
        <v>82708.50</v>
      </c>
      <c r="O56" s="39">
        <f>VLOOKUP(E56,'Participaciones  Tabla I'!$C$5:$AD$110,11,FALSE)</f>
        <v>149200</v>
      </c>
      <c r="P56" s="26">
        <f t="shared" si="24"/>
        <v>231908.50</v>
      </c>
      <c r="Q56" s="34">
        <f t="shared" si="25"/>
        <v>0.001144857062579475</v>
      </c>
      <c r="R56" s="51">
        <f t="shared" si="26"/>
        <v>3.778028306512268E-4</v>
      </c>
      <c r="S56" s="39">
        <f>VLOOKUP(E56,'Participaciones  Tabla I'!$C$5:$AD$110,15,FALSE)</f>
        <v>140116.34</v>
      </c>
      <c r="T56" s="39">
        <f>VLOOKUP(E56,'Participaciones  Tabla I'!$C$5:$AD$110,16,FALSE)</f>
        <v>154790</v>
      </c>
      <c r="U56" s="26">
        <f t="shared" si="27"/>
        <v>294906.33999999997</v>
      </c>
      <c r="V56" s="24">
        <f t="shared" si="28"/>
        <v>0.0012001275456577035</v>
      </c>
      <c r="W56" s="24">
        <f t="shared" si="29"/>
        <v>4.080433655236192E-4</v>
      </c>
      <c r="X56" s="24">
        <f t="shared" si="30"/>
        <v>0.0017419181273403337</v>
      </c>
      <c r="Y56" s="25">
        <f t="shared" si="31"/>
        <v>7.838631573031501E-5</v>
      </c>
      <c r="Z56" s="24">
        <f t="shared" si="32"/>
        <v>2.400255091315407E-5</v>
      </c>
      <c r="AA56" s="37">
        <f>VLOOKUP(D56,'Participaciones  Tabla I'!$B$5:$Y$110,24,FALSE)</f>
        <v>54.5580867667941</v>
      </c>
      <c r="AB56" s="23">
        <f t="shared" si="14"/>
        <v>5231.167332583224</v>
      </c>
      <c r="AC56" s="35">
        <f t="shared" si="15"/>
        <v>0.00341721296715886</v>
      </c>
      <c r="AD56" s="22">
        <f t="shared" si="33"/>
        <v>8.543032417897151E-5</v>
      </c>
      <c r="AE56" s="22">
        <f t="shared" si="34"/>
        <v>0.0033750000000000004</v>
      </c>
      <c r="AF56" s="70">
        <f t="shared" si="35"/>
        <v>0.005768717754415706</v>
      </c>
      <c r="AG56" s="83"/>
      <c r="AH56" s="84"/>
      <c r="AI56" s="82"/>
      <c r="AJ56" s="68"/>
    </row>
    <row r="57" spans="1:36" s="6" customFormat="1" ht="13.5">
      <c r="A57" s="6" t="s">
        <v>47</v>
      </c>
      <c r="B57" s="6" t="s">
        <v>306</v>
      </c>
      <c r="C57" s="6" t="s">
        <v>412</v>
      </c>
      <c r="D57" s="32">
        <v>71</v>
      </c>
      <c r="E57" s="31" t="s">
        <v>306</v>
      </c>
      <c r="F57" s="23">
        <f>VLOOKUP(D57,'Participaciones  Tabla I'!B$5:D$110,3)</f>
        <v>1949</v>
      </c>
      <c r="G57" s="30">
        <f t="shared" si="19"/>
        <v>0.0016916772776234235</v>
      </c>
      <c r="H57" s="30">
        <f t="shared" si="20"/>
        <v>0.001082673457678991</v>
      </c>
      <c r="I57" s="38">
        <f>VLOOKUP(E57,'Participaciones  Tabla I'!$C$5:$AD$110,5,FALSE)</f>
        <v>8835.50</v>
      </c>
      <c r="J57" s="38">
        <f>VLOOKUP(E57,'Participaciones  Tabla I'!$C$5:$AD$110,6,FALSE)</f>
        <v>0</v>
      </c>
      <c r="K57" s="26">
        <f t="shared" si="21"/>
        <v>8835.50</v>
      </c>
      <c r="L57" s="53">
        <f t="shared" si="22"/>
        <v>5.4847194583005875E-5</v>
      </c>
      <c r="M57" s="29">
        <f t="shared" si="23"/>
        <v>1.809957421239194E-5</v>
      </c>
      <c r="N57" s="39">
        <f>VLOOKUP(E57,'Participaciones  Tabla I'!$C$5:$AD$110,10,FALSE)</f>
        <v>18991.50</v>
      </c>
      <c r="O57" s="39">
        <f>VLOOKUP(E57,'Participaciones  Tabla I'!$C$5:$AD$110,11,FALSE)</f>
        <v>0</v>
      </c>
      <c r="P57" s="26">
        <f t="shared" si="24"/>
        <v>18991.50</v>
      </c>
      <c r="Q57" s="34">
        <f t="shared" si="25"/>
        <v>9.375487704839667E-5</v>
      </c>
      <c r="R57" s="51">
        <f t="shared" si="26"/>
        <v>3.0939109425970905E-5</v>
      </c>
      <c r="S57" s="39">
        <f>VLOOKUP(E57,'Participaciones  Tabla I'!$C$5:$AD$110,15,FALSE)</f>
        <v>18710</v>
      </c>
      <c r="T57" s="39">
        <f>VLOOKUP(E57,'Participaciones  Tabla I'!$C$5:$AD$110,16,FALSE)</f>
        <v>0</v>
      </c>
      <c r="U57" s="26">
        <f t="shared" si="27"/>
        <v>18710</v>
      </c>
      <c r="V57" s="24">
        <f t="shared" si="28"/>
        <v>7.614073803654284E-5</v>
      </c>
      <c r="W57" s="24">
        <f t="shared" si="29"/>
        <v>2.5887850932424564E-5</v>
      </c>
      <c r="X57" s="24">
        <f t="shared" si="30"/>
        <v>7.492653457078741E-5</v>
      </c>
      <c r="Y57" s="25">
        <f t="shared" si="31"/>
        <v>3.3716940556854334E-6</v>
      </c>
      <c r="Z57" s="24">
        <f t="shared" si="32"/>
        <v>1.5228147607308567E-6</v>
      </c>
      <c r="AA57" s="37">
        <f>VLOOKUP(D57,'Participaciones  Tabla I'!$B$5:$Y$110,24,FALSE)</f>
        <v>52.1308633542215</v>
      </c>
      <c r="AB57" s="23">
        <f t="shared" si="14"/>
        <v>3256.2845301738025</v>
      </c>
      <c r="AC57" s="35">
        <f t="shared" si="15"/>
        <v>0.0021271385550906932</v>
      </c>
      <c r="AD57" s="22">
        <f t="shared" si="33"/>
        <v>5.317846387726733E-5</v>
      </c>
      <c r="AE57" s="22">
        <f t="shared" si="34"/>
        <v>0.0033750000000000004</v>
      </c>
      <c r="AF57" s="70">
        <f t="shared" si="35"/>
        <v>0.004515746430372675</v>
      </c>
      <c r="AG57" s="83"/>
      <c r="AH57" s="84"/>
      <c r="AI57" s="82"/>
      <c r="AJ57" s="68"/>
    </row>
    <row r="58" spans="1:36" s="6" customFormat="1" ht="13.5">
      <c r="A58" s="6" t="s">
        <v>46</v>
      </c>
      <c r="B58" s="6" t="s">
        <v>307</v>
      </c>
      <c r="C58" s="6" t="s">
        <v>411</v>
      </c>
      <c r="D58" s="32">
        <v>72</v>
      </c>
      <c r="E58" s="33" t="s">
        <v>307</v>
      </c>
      <c r="F58" s="23">
        <f>VLOOKUP(D58,'Participaciones  Tabla I'!B$5:D$110,3)</f>
        <v>1857</v>
      </c>
      <c r="G58" s="30">
        <f t="shared" si="19"/>
        <v>0.0016118238607217533</v>
      </c>
      <c r="H58" s="30">
        <f t="shared" si="20"/>
        <v>0.001031567270861922</v>
      </c>
      <c r="I58" s="38">
        <f>VLOOKUP(E58,'Participaciones  Tabla I'!$C$5:$AD$110,5,FALSE)</f>
        <v>21000</v>
      </c>
      <c r="J58" s="38">
        <f>VLOOKUP(E58,'Participaciones  Tabla I'!$C$5:$AD$110,6,FALSE)</f>
        <v>25815</v>
      </c>
      <c r="K58" s="26">
        <f t="shared" si="21"/>
        <v>46815</v>
      </c>
      <c r="L58" s="53">
        <f t="shared" si="22"/>
        <v>2.906085014321114E-4</v>
      </c>
      <c r="M58" s="29">
        <f t="shared" si="23"/>
        <v>9.590080547259677E-5</v>
      </c>
      <c r="N58" s="39">
        <f>VLOOKUP(E58,'Participaciones  Tabla I'!$C$5:$AD$110,10,FALSE)</f>
        <v>24780</v>
      </c>
      <c r="O58" s="39">
        <f>VLOOKUP(E58,'Participaciones  Tabla I'!$C$5:$AD$110,11,FALSE)</f>
        <v>18315</v>
      </c>
      <c r="P58" s="26">
        <f t="shared" si="24"/>
        <v>43095</v>
      </c>
      <c r="Q58" s="34">
        <f t="shared" si="25"/>
        <v>2.1274604040758522E-4</v>
      </c>
      <c r="R58" s="51">
        <f t="shared" si="26"/>
        <v>7.020619333450312E-5</v>
      </c>
      <c r="S58" s="39">
        <f>VLOOKUP(E58,'Participaciones  Tabla I'!$C$5:$AD$110,15,FALSE)</f>
        <v>30600</v>
      </c>
      <c r="T58" s="39">
        <f>VLOOKUP(E58,'Participaciones  Tabla I'!$C$5:$AD$110,16,FALSE)</f>
        <v>0</v>
      </c>
      <c r="U58" s="26">
        <f t="shared" si="27"/>
        <v>30600</v>
      </c>
      <c r="V58" s="24">
        <f t="shared" si="28"/>
        <v>1.2452734280695942E-4</v>
      </c>
      <c r="W58" s="24">
        <f t="shared" si="29"/>
        <v>4.233929655436621E-5</v>
      </c>
      <c r="X58" s="24">
        <f t="shared" si="30"/>
        <v>2.084462953614661E-4</v>
      </c>
      <c r="Y58" s="25">
        <f t="shared" si="31"/>
        <v>9.380083291265974E-6</v>
      </c>
      <c r="Z58" s="24">
        <f t="shared" si="32"/>
        <v>2.4905468561391885E-6</v>
      </c>
      <c r="AA58" s="37">
        <f>VLOOKUP(D58,'Participaciones  Tabla I'!$B$5:$Y$110,24,FALSE)</f>
        <v>55.3705088828567</v>
      </c>
      <c r="AB58" s="23">
        <f t="shared" si="14"/>
        <v>2226.6431046603093</v>
      </c>
      <c r="AC58" s="35">
        <f t="shared" si="15"/>
        <v>0.001454534563076705</v>
      </c>
      <c r="AD58" s="22">
        <f t="shared" si="33"/>
        <v>3.6363364076917625E-5</v>
      </c>
      <c r="AE58" s="22">
        <f t="shared" si="34"/>
        <v>0.0033750000000000004</v>
      </c>
      <c r="AF58" s="70">
        <f t="shared" si="35"/>
        <v>0.004454801265086245</v>
      </c>
      <c r="AG58" s="83"/>
      <c r="AH58" s="84"/>
      <c r="AI58" s="82"/>
      <c r="AJ58" s="68"/>
    </row>
    <row r="59" spans="1:36" s="6" customFormat="1" ht="13.5">
      <c r="A59" s="6" t="s">
        <v>45</v>
      </c>
      <c r="B59" s="6" t="s">
        <v>308</v>
      </c>
      <c r="C59" s="6" t="s">
        <v>410</v>
      </c>
      <c r="D59" s="32">
        <v>73</v>
      </c>
      <c r="E59" s="31" t="s">
        <v>308</v>
      </c>
      <c r="F59" s="23">
        <f>VLOOKUP(D59,'Participaciones  Tabla I'!B$5:D$110,3)</f>
        <v>5854</v>
      </c>
      <c r="G59" s="30">
        <f t="shared" si="19"/>
        <v>0.00508110763633018</v>
      </c>
      <c r="H59" s="30">
        <f t="shared" si="20"/>
        <v>0.0032519088872513154</v>
      </c>
      <c r="I59" s="38">
        <f>VLOOKUP(E59,'Participaciones  Tabla I'!$C$5:$AD$110,5,FALSE)</f>
        <v>0</v>
      </c>
      <c r="J59" s="38">
        <f>VLOOKUP(E59,'Participaciones  Tabla I'!$C$5:$AD$110,6,FALSE)</f>
        <v>0</v>
      </c>
      <c r="K59" s="26">
        <f t="shared" si="21"/>
        <v>0</v>
      </c>
      <c r="L59" s="53">
        <f t="shared" si="22"/>
        <v>0</v>
      </c>
      <c r="M59" s="29">
        <f t="shared" si="23"/>
        <v>0</v>
      </c>
      <c r="N59" s="39">
        <f>VLOOKUP(E59,'Participaciones  Tabla I'!$C$5:$AD$110,10,FALSE)</f>
        <v>0</v>
      </c>
      <c r="O59" s="39">
        <f>VLOOKUP(E59,'Participaciones  Tabla I'!$C$5:$AD$110,11,FALSE)</f>
        <v>0</v>
      </c>
      <c r="P59" s="26">
        <f t="shared" si="24"/>
        <v>0</v>
      </c>
      <c r="Q59" s="34">
        <f t="shared" si="25"/>
        <v>0</v>
      </c>
      <c r="R59" s="51">
        <f t="shared" si="26"/>
        <v>0</v>
      </c>
      <c r="S59" s="39">
        <f>VLOOKUP(E59,'Participaciones  Tabla I'!$C$5:$AD$110,15,FALSE)</f>
        <v>0</v>
      </c>
      <c r="T59" s="39">
        <f>VLOOKUP(E59,'Participaciones  Tabla I'!$C$5:$AD$110,16,FALSE)</f>
        <v>0</v>
      </c>
      <c r="U59" s="26">
        <f t="shared" si="27"/>
        <v>0</v>
      </c>
      <c r="V59" s="24">
        <f t="shared" si="28"/>
        <v>0</v>
      </c>
      <c r="W59" s="24">
        <f t="shared" si="29"/>
        <v>0</v>
      </c>
      <c r="X59" s="24">
        <f t="shared" si="30"/>
        <v>0</v>
      </c>
      <c r="Y59" s="25">
        <f t="shared" si="31"/>
        <v>0</v>
      </c>
      <c r="Z59" s="24">
        <f t="shared" si="32"/>
        <v>0</v>
      </c>
      <c r="AA59" s="37">
        <f>VLOOKUP(D59,'Participaciones  Tabla I'!$B$5:$Y$110,24,FALSE)</f>
        <v>49.4453324912743</v>
      </c>
      <c r="AB59" s="23">
        <f t="shared" si="14"/>
        <v>12069.54063558928</v>
      </c>
      <c r="AC59" s="35">
        <f t="shared" si="15"/>
        <v>0.007884318765849822</v>
      </c>
      <c r="AD59" s="22">
        <f t="shared" si="33"/>
        <v>1.9710796914624556E-4</v>
      </c>
      <c r="AE59" s="22">
        <f t="shared" si="34"/>
        <v>0.0033750000000000004</v>
      </c>
      <c r="AF59" s="70">
        <f t="shared" si="35"/>
        <v>0.006824016856397561</v>
      </c>
      <c r="AG59" s="83"/>
      <c r="AH59" s="84"/>
      <c r="AI59" s="82"/>
      <c r="AJ59" s="68"/>
    </row>
    <row r="60" spans="1:36" s="6" customFormat="1" ht="13.5">
      <c r="A60" s="6" t="s">
        <v>44</v>
      </c>
      <c r="B60" s="6" t="s">
        <v>310</v>
      </c>
      <c r="C60" s="6" t="s">
        <v>409</v>
      </c>
      <c r="D60" s="32">
        <v>75</v>
      </c>
      <c r="E60" s="31" t="s">
        <v>310</v>
      </c>
      <c r="F60" s="23">
        <f>VLOOKUP(D60,'Participaciones  Tabla I'!B$5:D$110,3)</f>
        <v>6921</v>
      </c>
      <c r="G60" s="30">
        <f t="shared" si="19"/>
        <v>0.006007233678004984</v>
      </c>
      <c r="H60" s="30">
        <f t="shared" si="20"/>
        <v>0.0038446295539231895</v>
      </c>
      <c r="I60" s="38">
        <f>VLOOKUP(E60,'Participaciones  Tabla I'!$C$5:$AD$110,5,FALSE)</f>
        <v>10040</v>
      </c>
      <c r="J60" s="38">
        <f>VLOOKUP(E60,'Participaciones  Tabla I'!$C$5:$AD$110,6,FALSE)</f>
        <v>4800</v>
      </c>
      <c r="K60" s="26">
        <f t="shared" si="21"/>
        <v>14840</v>
      </c>
      <c r="L60" s="53">
        <f t="shared" si="22"/>
        <v>9.212069125819786E-5</v>
      </c>
      <c r="M60" s="29">
        <f t="shared" si="23"/>
        <v>3.0399828115205297E-5</v>
      </c>
      <c r="N60" s="39">
        <f>VLOOKUP(E60,'Participaciones  Tabla I'!$C$5:$AD$110,10,FALSE)</f>
        <v>7797</v>
      </c>
      <c r="O60" s="39">
        <f>VLOOKUP(E60,'Participaciones  Tabla I'!$C$5:$AD$110,11,FALSE)</f>
        <v>0</v>
      </c>
      <c r="P60" s="26">
        <f t="shared" si="24"/>
        <v>7797</v>
      </c>
      <c r="Q60" s="34">
        <f t="shared" si="25"/>
        <v>3.849126063482868E-5</v>
      </c>
      <c r="R60" s="51">
        <f t="shared" si="26"/>
        <v>1.2702116009493466E-5</v>
      </c>
      <c r="S60" s="39">
        <f>VLOOKUP(E60,'Participaciones  Tabla I'!$C$5:$AD$110,15,FALSE)</f>
        <v>3345</v>
      </c>
      <c r="T60" s="39">
        <f>VLOOKUP(E60,'Participaciones  Tabla I'!$C$5:$AD$110,16,FALSE)</f>
        <v>1500</v>
      </c>
      <c r="U60" s="26">
        <f t="shared" si="27"/>
        <v>4845</v>
      </c>
      <c r="V60" s="24">
        <f t="shared" si="28"/>
        <v>1.9716829277768575E-5</v>
      </c>
      <c r="W60" s="24">
        <f t="shared" si="29"/>
        <v>6.703721954441316E-6</v>
      </c>
      <c r="X60" s="24">
        <f t="shared" si="30"/>
        <v>4.980566607914008E-5</v>
      </c>
      <c r="Y60" s="25">
        <f t="shared" si="31"/>
        <v>2.2412549735613034E-6</v>
      </c>
      <c r="Z60" s="24">
        <f t="shared" si="32"/>
        <v>3.943365855553715E-7</v>
      </c>
      <c r="AA60" s="37">
        <f>VLOOKUP(D60,'Participaciones  Tabla I'!$B$5:$Y$110,24,FALSE)</f>
        <v>50.657433654324</v>
      </c>
      <c r="AB60" s="23">
        <f t="shared" si="14"/>
        <v>13048.006684378468</v>
      </c>
      <c r="AC60" s="35">
        <f t="shared" si="15"/>
        <v>0.00852349290371782</v>
      </c>
      <c r="AD60" s="22">
        <f t="shared" si="33"/>
        <v>2.130873225929455E-4</v>
      </c>
      <c r="AE60" s="22">
        <f t="shared" si="34"/>
        <v>0.0033750000000000004</v>
      </c>
      <c r="AF60" s="70">
        <f t="shared" si="35"/>
        <v>0.007435352468075252</v>
      </c>
      <c r="AG60" s="83"/>
      <c r="AH60" s="84"/>
      <c r="AI60" s="82"/>
      <c r="AJ60" s="68"/>
    </row>
    <row r="61" spans="1:36" s="6" customFormat="1" ht="13.5">
      <c r="A61" s="6" t="s">
        <v>43</v>
      </c>
      <c r="B61" s="6" t="s">
        <v>311</v>
      </c>
      <c r="C61" s="6" t="s">
        <v>408</v>
      </c>
      <c r="D61" s="32">
        <v>76</v>
      </c>
      <c r="E61" s="33" t="s">
        <v>311</v>
      </c>
      <c r="F61" s="23">
        <f>VLOOKUP(D61,'Participaciones  Tabla I'!B$5:D$110,3)</f>
        <v>17939</v>
      </c>
      <c r="G61" s="30">
        <f t="shared" si="19"/>
        <v>0.015570548323902818</v>
      </c>
      <c r="H61" s="30">
        <f t="shared" si="20"/>
        <v>0.009965150927297804</v>
      </c>
      <c r="I61" s="38">
        <f>VLOOKUP(E61,'Participaciones  Tabla I'!$C$5:$AD$110,5,FALSE)</f>
        <v>42219.50</v>
      </c>
      <c r="J61" s="38">
        <f>VLOOKUP(E61,'Participaciones  Tabla I'!$C$5:$AD$110,6,FALSE)</f>
        <v>123084</v>
      </c>
      <c r="K61" s="26">
        <f t="shared" si="21"/>
        <v>165303.50</v>
      </c>
      <c r="L61" s="53">
        <f t="shared" si="22"/>
        <v>0.0010261369735444414</v>
      </c>
      <c r="M61" s="29">
        <f t="shared" si="23"/>
        <v>3.386252012696657E-4</v>
      </c>
      <c r="N61" s="39">
        <f>VLOOKUP(E61,'Participaciones  Tabla I'!$C$5:$AD$110,10,FALSE)</f>
        <v>58826.05</v>
      </c>
      <c r="O61" s="39">
        <f>VLOOKUP(E61,'Participaciones  Tabla I'!$C$5:$AD$110,11,FALSE)</f>
        <v>149193.50</v>
      </c>
      <c r="P61" s="26">
        <f t="shared" si="24"/>
        <v>208019.55</v>
      </c>
      <c r="Q61" s="34">
        <f t="shared" si="25"/>
        <v>0.001026925062997278</v>
      </c>
      <c r="R61" s="51">
        <f t="shared" si="26"/>
        <v>3.3888527078910173E-4</v>
      </c>
      <c r="S61" s="39">
        <f>VLOOKUP(E61,'Participaciones  Tabla I'!$C$5:$AD$110,15,FALSE)</f>
        <v>142216</v>
      </c>
      <c r="T61" s="39">
        <f>VLOOKUP(E61,'Participaciones  Tabla I'!$C$5:$AD$110,16,FALSE)</f>
        <v>61298</v>
      </c>
      <c r="U61" s="26">
        <f t="shared" si="27"/>
        <v>203514</v>
      </c>
      <c r="V61" s="24">
        <f t="shared" si="28"/>
        <v>8.282044981704425E-4</v>
      </c>
      <c r="W61" s="24">
        <f t="shared" si="29"/>
        <v>2.815895293779505E-4</v>
      </c>
      <c r="X61" s="24">
        <f t="shared" si="30"/>
        <v>9.591000014367179E-4</v>
      </c>
      <c r="Y61" s="25">
        <f t="shared" si="31"/>
        <v>4.31595000646523E-5</v>
      </c>
      <c r="Z61" s="24">
        <f t="shared" si="32"/>
        <v>1.656408996340885E-5</v>
      </c>
      <c r="AA61" s="37">
        <f>VLOOKUP(D61,'Participaciones  Tabla I'!$B$5:$Y$110,24,FALSE)</f>
        <v>52.9894936634856</v>
      </c>
      <c r="AB61" s="23">
        <f t="shared" si="14"/>
        <v>27728.845493658544</v>
      </c>
      <c r="AC61" s="35">
        <f t="shared" si="15"/>
        <v>0.018113618693685135</v>
      </c>
      <c r="AD61" s="22">
        <f t="shared" si="33"/>
        <v>4.528404673421284E-4</v>
      </c>
      <c r="AE61" s="22">
        <f t="shared" si="34"/>
        <v>0.0033750000000000004</v>
      </c>
      <c r="AF61" s="70">
        <f t="shared" si="35"/>
        <v>0.013852714984667992</v>
      </c>
      <c r="AG61" s="83"/>
      <c r="AH61" s="84"/>
      <c r="AI61" s="82"/>
      <c r="AJ61" s="68"/>
    </row>
    <row r="62" spans="1:36" s="6" customFormat="1" ht="13.5">
      <c r="A62" s="6" t="s">
        <v>42</v>
      </c>
      <c r="B62" s="6" t="s">
        <v>313</v>
      </c>
      <c r="C62" s="6" t="s">
        <v>407</v>
      </c>
      <c r="D62" s="32">
        <v>78</v>
      </c>
      <c r="E62" s="31" t="s">
        <v>313</v>
      </c>
      <c r="F62" s="23">
        <f>VLOOKUP(D62,'Participaciones  Tabla I'!B$5:D$110,3)</f>
        <v>3747</v>
      </c>
      <c r="G62" s="30">
        <f t="shared" si="19"/>
        <v>0.003252290794897367</v>
      </c>
      <c r="H62" s="30">
        <f t="shared" si="20"/>
        <v>0.0020814661087343147</v>
      </c>
      <c r="I62" s="38">
        <f>VLOOKUP(E62,'Participaciones  Tabla I'!$C$5:$AD$110,5,FALSE)</f>
        <v>84483.68</v>
      </c>
      <c r="J62" s="38">
        <f>VLOOKUP(E62,'Participaciones  Tabla I'!$C$5:$AD$110,6,FALSE)</f>
        <v>8740</v>
      </c>
      <c r="K62" s="26">
        <f t="shared" si="21"/>
        <v>93223.68</v>
      </c>
      <c r="L62" s="53">
        <f t="shared" si="22"/>
        <v>5.786947333714982E-4</v>
      </c>
      <c r="M62" s="29">
        <f t="shared" si="23"/>
        <v>1.9096926201259444E-4</v>
      </c>
      <c r="N62" s="39">
        <f>VLOOKUP(E62,'Participaciones  Tabla I'!$C$5:$AD$110,10,FALSE)</f>
        <v>57668.08</v>
      </c>
      <c r="O62" s="39">
        <f>VLOOKUP(E62,'Participaciones  Tabla I'!$C$5:$AD$110,11,FALSE)</f>
        <v>6260</v>
      </c>
      <c r="P62" s="26">
        <f t="shared" si="24"/>
        <v>63928.08</v>
      </c>
      <c r="Q62" s="34">
        <f t="shared" si="25"/>
        <v>3.155922007392816E-4</v>
      </c>
      <c r="R62" s="51">
        <f t="shared" si="26"/>
        <v>1.0414542624396294E-4</v>
      </c>
      <c r="S62" s="39">
        <f>VLOOKUP(E62,'Participaciones  Tabla I'!$C$5:$AD$110,15,FALSE)</f>
        <v>75371.4</v>
      </c>
      <c r="T62" s="39">
        <f>VLOOKUP(E62,'Participaciones  Tabla I'!$C$5:$AD$110,16,FALSE)</f>
        <v>6060</v>
      </c>
      <c r="U62" s="26">
        <f t="shared" si="27"/>
        <v>81431.4</v>
      </c>
      <c r="V62" s="24">
        <f t="shared" si="28"/>
        <v>3.3138679291015147E-4</v>
      </c>
      <c r="W62" s="24">
        <f t="shared" si="29"/>
        <v>1.1267150958945151E-4</v>
      </c>
      <c r="X62" s="24">
        <f t="shared" si="30"/>
        <v>4.0778619784600893E-4</v>
      </c>
      <c r="Y62" s="25">
        <f t="shared" si="31"/>
        <v>1.83503789030704E-5</v>
      </c>
      <c r="Z62" s="24">
        <f t="shared" si="32"/>
        <v>6.627735858203029E-6</v>
      </c>
      <c r="AA62" s="37">
        <f>VLOOKUP(D62,'Participaciones  Tabla I'!$B$5:$Y$110,24,FALSE)</f>
        <v>52.699620408264</v>
      </c>
      <c r="AB62" s="23">
        <f t="shared" si="14"/>
        <v>5949.993451282179</v>
      </c>
      <c r="AC62" s="35">
        <f t="shared" si="15"/>
        <v>0.003886779658067512</v>
      </c>
      <c r="AD62" s="22">
        <f t="shared" si="33"/>
        <v>9.716949145168781E-5</v>
      </c>
      <c r="AE62" s="22">
        <f t="shared" si="34"/>
        <v>0.0033750000000000004</v>
      </c>
      <c r="AF62" s="70">
        <f t="shared" si="35"/>
        <v>0.005578613714947276</v>
      </c>
      <c r="AG62" s="83"/>
      <c r="AH62" s="84"/>
      <c r="AI62" s="82"/>
      <c r="AJ62" s="68"/>
    </row>
    <row r="63" spans="1:36" s="6" customFormat="1" ht="13.5">
      <c r="A63" s="6" t="s">
        <v>41</v>
      </c>
      <c r="B63" s="6" t="s">
        <v>314</v>
      </c>
      <c r="C63" s="6" t="s">
        <v>406</v>
      </c>
      <c r="D63" s="32">
        <v>79</v>
      </c>
      <c r="E63" s="31" t="s">
        <v>314</v>
      </c>
      <c r="F63" s="23">
        <f>VLOOKUP(D63,'Participaciones  Tabla I'!B$5:D$110,3)</f>
        <v>45062</v>
      </c>
      <c r="G63" s="30">
        <f t="shared" si="19"/>
        <v>0.039112550787207136</v>
      </c>
      <c r="H63" s="30">
        <f t="shared" si="20"/>
        <v>0.025032032503812567</v>
      </c>
      <c r="I63" s="38">
        <f>VLOOKUP(E63,'Participaciones  Tabla I'!$C$5:$AD$110,5,FALSE)</f>
        <v>9075</v>
      </c>
      <c r="J63" s="38">
        <f>VLOOKUP(E63,'Participaciones  Tabla I'!$C$5:$AD$110,6,FALSE)</f>
        <v>1272225.50</v>
      </c>
      <c r="K63" s="26">
        <f t="shared" si="21"/>
        <v>1281300.50</v>
      </c>
      <c r="L63" s="53">
        <f t="shared" si="22"/>
        <v>0.007953792976379687</v>
      </c>
      <c r="M63" s="29">
        <f t="shared" si="23"/>
        <v>0.002624751682205297</v>
      </c>
      <c r="N63" s="39">
        <f>VLOOKUP(E63,'Participaciones  Tabla I'!$C$5:$AD$110,10,FALSE)</f>
        <v>28971.70</v>
      </c>
      <c r="O63" s="39">
        <f>VLOOKUP(E63,'Participaciones  Tabla I'!$C$5:$AD$110,11,FALSE)</f>
        <v>2392599</v>
      </c>
      <c r="P63" s="26">
        <f t="shared" si="24"/>
        <v>2421570.7</v>
      </c>
      <c r="Q63" s="34">
        <f t="shared" si="25"/>
        <v>0.011954509293236442</v>
      </c>
      <c r="R63" s="51">
        <f t="shared" si="26"/>
        <v>0.003944988066768026</v>
      </c>
      <c r="S63" s="39">
        <f>VLOOKUP(E63,'Participaciones  Tabla I'!$C$5:$AD$110,15,FALSE)</f>
        <v>42189</v>
      </c>
      <c r="T63" s="39">
        <f>VLOOKUP(E63,'Participaciones  Tabla I'!$C$5:$AD$110,16,FALSE)</f>
        <v>1800233</v>
      </c>
      <c r="U63" s="26">
        <f t="shared" si="27"/>
        <v>1842422</v>
      </c>
      <c r="V63" s="24">
        <f t="shared" si="28"/>
        <v>0.007497775032323</v>
      </c>
      <c r="W63" s="24">
        <f t="shared" si="29"/>
        <v>0.0025492435109898204</v>
      </c>
      <c r="X63" s="24">
        <f t="shared" si="30"/>
        <v>0.009118983259963142</v>
      </c>
      <c r="Y63" s="25">
        <f t="shared" si="31"/>
        <v>4.1035424669834137E-4</v>
      </c>
      <c r="Z63" s="24">
        <f t="shared" si="32"/>
        <v>1.4995550064646E-4</v>
      </c>
      <c r="AA63" s="37">
        <f>VLOOKUP(D63,'Participaciones  Tabla I'!$B$5:$Y$110,24,FALSE)</f>
        <v>53.7973245706733</v>
      </c>
      <c r="AB63" s="23">
        <f t="shared" si="14"/>
        <v>64353.472204584126</v>
      </c>
      <c r="AC63" s="35">
        <f t="shared" si="15"/>
        <v>0.042038326384525676</v>
      </c>
      <c r="AD63" s="22">
        <f t="shared" si="33"/>
        <v>0.001050958159613142</v>
      </c>
      <c r="AE63" s="22">
        <f t="shared" si="34"/>
        <v>0.0033750000000000004</v>
      </c>
      <c r="AF63" s="70">
        <f t="shared" si="35"/>
        <v>0.03001830041077051</v>
      </c>
      <c r="AG63" s="83"/>
      <c r="AH63" s="84"/>
      <c r="AI63" s="82"/>
      <c r="AJ63" s="68"/>
    </row>
    <row r="64" spans="1:36" s="6" customFormat="1" ht="13.5">
      <c r="A64" s="6" t="s">
        <v>40</v>
      </c>
      <c r="B64" s="6" t="s">
        <v>315</v>
      </c>
      <c r="C64" s="6" t="s">
        <v>405</v>
      </c>
      <c r="D64" s="32">
        <v>80</v>
      </c>
      <c r="E64" s="31" t="s">
        <v>315</v>
      </c>
      <c r="F64" s="23">
        <f>VLOOKUP(D64,'Participaciones  Tabla I'!B$5:D$110,3)</f>
        <v>11020</v>
      </c>
      <c r="G64" s="30">
        <f t="shared" si="19"/>
        <v>0.009565050589743523</v>
      </c>
      <c r="H64" s="30">
        <f t="shared" si="20"/>
        <v>0.006121632377435855</v>
      </c>
      <c r="I64" s="38">
        <f>VLOOKUP(E64,'Participaciones  Tabla I'!$C$5:$AD$110,5,FALSE)</f>
        <v>15297.01</v>
      </c>
      <c r="J64" s="38">
        <f>VLOOKUP(E64,'Participaciones  Tabla I'!$C$5:$AD$110,6,FALSE)</f>
        <v>4172</v>
      </c>
      <c r="K64" s="26">
        <f t="shared" si="21"/>
        <v>19469.010000000002</v>
      </c>
      <c r="L64" s="53">
        <f t="shared" si="22"/>
        <v>1.2085570480544252E-4</v>
      </c>
      <c r="M64" s="29">
        <f t="shared" si="23"/>
        <v>3.988238258579603E-5</v>
      </c>
      <c r="N64" s="39">
        <f>VLOOKUP(E64,'Participaciones  Tabla I'!$C$5:$AD$110,10,FALSE)</f>
        <v>18607</v>
      </c>
      <c r="O64" s="39">
        <f>VLOOKUP(E64,'Participaciones  Tabla I'!$C$5:$AD$110,11,FALSE)</f>
        <v>10600</v>
      </c>
      <c r="P64" s="26">
        <f t="shared" si="24"/>
        <v>29207</v>
      </c>
      <c r="Q64" s="34">
        <f t="shared" si="25"/>
        <v>1.441854879263103E-4</v>
      </c>
      <c r="R64" s="51">
        <f t="shared" si="26"/>
        <v>4.7581211015682396E-5</v>
      </c>
      <c r="S64" s="39">
        <f>VLOOKUP(E64,'Participaciones  Tabla I'!$C$5:$AD$110,15,FALSE)</f>
        <v>11762</v>
      </c>
      <c r="T64" s="39">
        <f>VLOOKUP(E64,'Participaciones  Tabla I'!$C$5:$AD$110,16,FALSE)</f>
        <v>6720</v>
      </c>
      <c r="U64" s="26">
        <f t="shared" si="27"/>
        <v>18482</v>
      </c>
      <c r="V64" s="24">
        <f t="shared" si="28"/>
        <v>7.521288724700079E-5</v>
      </c>
      <c r="W64" s="24">
        <f t="shared" si="29"/>
        <v>2.557238166398027E-5</v>
      </c>
      <c r="X64" s="24">
        <f t="shared" si="30"/>
        <v>1.1303597526545871E-4</v>
      </c>
      <c r="Y64" s="25">
        <f t="shared" si="31"/>
        <v>5.086618886945642E-6</v>
      </c>
      <c r="Z64" s="24">
        <f t="shared" si="32"/>
        <v>1.5042577449400157E-6</v>
      </c>
      <c r="AA64" s="37">
        <f>VLOOKUP(D64,'Participaciones  Tabla I'!$B$5:$Y$110,24,FALSE)</f>
        <v>54.1478164371423</v>
      </c>
      <c r="AB64" s="23">
        <f t="shared" si="14"/>
        <v>15175.398752807914</v>
      </c>
      <c r="AC64" s="35">
        <f t="shared" si="15"/>
        <v>0.009913192620870264</v>
      </c>
      <c r="AD64" s="22">
        <f t="shared" si="33"/>
        <v>2.478298155217566E-4</v>
      </c>
      <c r="AE64" s="22">
        <f t="shared" si="34"/>
        <v>0.0033750000000000004</v>
      </c>
      <c r="AF64" s="70">
        <f t="shared" si="35"/>
        <v>0.009751053069589498</v>
      </c>
      <c r="AG64" s="83"/>
      <c r="AH64" s="84"/>
      <c r="AI64" s="82"/>
      <c r="AJ64" s="68"/>
    </row>
    <row r="65" spans="1:36" s="6" customFormat="1" ht="13.5">
      <c r="A65" s="6" t="s">
        <v>39</v>
      </c>
      <c r="B65" s="6" t="s">
        <v>316</v>
      </c>
      <c r="C65" s="6" t="s">
        <v>404</v>
      </c>
      <c r="D65" s="32">
        <v>81</v>
      </c>
      <c r="E65" s="31" t="s">
        <v>316</v>
      </c>
      <c r="F65" s="23">
        <f>VLOOKUP(D65,'Participaciones  Tabla I'!B$5:D$110,3)</f>
        <v>3355</v>
      </c>
      <c r="G65" s="30">
        <f t="shared" si="19"/>
        <v>0.002912045801142425</v>
      </c>
      <c r="H65" s="30">
        <f t="shared" si="20"/>
        <v>0.0018637093127311518</v>
      </c>
      <c r="I65" s="38">
        <f>VLOOKUP(E65,'Participaciones  Tabla I'!$C$5:$AD$110,5,FALSE)</f>
        <v>11745.20</v>
      </c>
      <c r="J65" s="38">
        <f>VLOOKUP(E65,'Participaciones  Tabla I'!$C$5:$AD$110,6,FALSE)</f>
        <v>1200</v>
      </c>
      <c r="K65" s="26">
        <f t="shared" si="21"/>
        <v>12945.20</v>
      </c>
      <c r="L65" s="53">
        <f t="shared" si="22"/>
        <v>8.035854261965115E-5</v>
      </c>
      <c r="M65" s="29">
        <f t="shared" si="23"/>
        <v>2.651831906448488E-5</v>
      </c>
      <c r="N65" s="39">
        <f>VLOOKUP(E65,'Participaciones  Tabla I'!$C$5:$AD$110,10,FALSE)</f>
        <v>9937</v>
      </c>
      <c r="O65" s="39">
        <f>VLOOKUP(E65,'Participaciones  Tabla I'!$C$5:$AD$110,11,FALSE)</f>
        <v>4390</v>
      </c>
      <c r="P65" s="26">
        <f t="shared" si="24"/>
        <v>14327</v>
      </c>
      <c r="Q65" s="34">
        <f t="shared" si="25"/>
        <v>7.072775312494427E-5</v>
      </c>
      <c r="R65" s="51">
        <f t="shared" si="26"/>
        <v>2.3340158531231613E-5</v>
      </c>
      <c r="S65" s="39">
        <f>VLOOKUP(E65,'Participaciones  Tabla I'!$C$5:$AD$110,15,FALSE)</f>
        <v>36455</v>
      </c>
      <c r="T65" s="39">
        <f>VLOOKUP(E65,'Participaciones  Tabla I'!$C$5:$AD$110,16,FALSE)</f>
        <v>3220</v>
      </c>
      <c r="U65" s="26">
        <f t="shared" si="27"/>
        <v>39675</v>
      </c>
      <c r="V65" s="24">
        <f t="shared" si="28"/>
        <v>1.614582459433371E-4</v>
      </c>
      <c r="W65" s="24">
        <f t="shared" si="29"/>
        <v>5.489580362073462E-5</v>
      </c>
      <c r="X65" s="24">
        <f t="shared" si="30"/>
        <v>1.0475428121645112E-4</v>
      </c>
      <c r="Y65" s="25">
        <f t="shared" si="31"/>
        <v>4.7139426547403E-6</v>
      </c>
      <c r="Z65" s="24">
        <f t="shared" si="32"/>
        <v>3.229164918866742E-6</v>
      </c>
      <c r="AA65" s="37">
        <f>VLOOKUP(D65,'Participaciones  Tabla I'!$B$5:$Y$110,24,FALSE)</f>
        <v>50.9301522867029</v>
      </c>
      <c r="AB65" s="23">
        <f>F65*(9.261-0.1456*AA65)</f>
        <v>6191.88676977307</v>
      </c>
      <c r="AC65" s="35">
        <f t="shared" si="15"/>
        <v>0.004044794290760971</v>
      </c>
      <c r="AD65" s="22">
        <f t="shared" si="33"/>
        <v>1.0111985726902427E-4</v>
      </c>
      <c r="AE65" s="22">
        <f t="shared" si="34"/>
        <v>0.0033750000000000004</v>
      </c>
      <c r="AF65" s="70">
        <f t="shared" si="35"/>
        <v>0.005347772277573784</v>
      </c>
      <c r="AG65" s="83"/>
      <c r="AH65" s="84"/>
      <c r="AI65" s="82"/>
      <c r="AJ65" s="68"/>
    </row>
    <row r="66" spans="1:36" s="6" customFormat="1" ht="13.5">
      <c r="A66" s="6" t="s">
        <v>38</v>
      </c>
      <c r="B66" s="6" t="s">
        <v>317</v>
      </c>
      <c r="C66" s="6" t="s">
        <v>403</v>
      </c>
      <c r="D66" s="32">
        <v>82</v>
      </c>
      <c r="E66" s="31" t="s">
        <v>317</v>
      </c>
      <c r="F66" s="23">
        <f>VLOOKUP(D66,'Participaciones  Tabla I'!B$5:D$110,3)</f>
        <v>3512</v>
      </c>
      <c r="G66" s="30">
        <f t="shared" si="19"/>
        <v>0.00304831739302897</v>
      </c>
      <c r="H66" s="30">
        <f t="shared" si="20"/>
        <v>0.001950923131538541</v>
      </c>
      <c r="I66" s="38">
        <f>VLOOKUP(E66,'Participaciones  Tabla I'!$C$5:$AD$110,5,FALSE)</f>
        <v>20675</v>
      </c>
      <c r="J66" s="38">
        <f>VLOOKUP(E66,'Participaciones  Tabla I'!$C$5:$AD$110,6,FALSE)</f>
        <v>0</v>
      </c>
      <c r="K66" s="26">
        <f t="shared" si="21"/>
        <v>20675</v>
      </c>
      <c r="L66" s="53">
        <f t="shared" si="22"/>
        <v>1.2834200079267123E-4</v>
      </c>
      <c r="M66" s="29">
        <f t="shared" si="23"/>
        <v>4.2352860261581504E-5</v>
      </c>
      <c r="N66" s="39">
        <f>VLOOKUP(E66,'Participaciones  Tabla I'!$C$5:$AD$110,10,FALSE)</f>
        <v>181499.37</v>
      </c>
      <c r="O66" s="39">
        <f>VLOOKUP(E66,'Participaciones  Tabla I'!$C$5:$AD$110,11,FALSE)</f>
        <v>75</v>
      </c>
      <c r="P66" s="26">
        <f t="shared" si="24"/>
        <v>181574.37</v>
      </c>
      <c r="Q66" s="34">
        <f t="shared" si="25"/>
        <v>8.96373784824268E-4</v>
      </c>
      <c r="R66" s="51">
        <f t="shared" si="26"/>
        <v>2.9580334899200844E-4</v>
      </c>
      <c r="S66" s="39">
        <f>VLOOKUP(E66,'Participaciones  Tabla I'!$C$5:$AD$110,15,FALSE)</f>
        <v>304291.39</v>
      </c>
      <c r="T66" s="39">
        <f>VLOOKUP(E66,'Participaciones  Tabla I'!$C$5:$AD$110,16,FALSE)</f>
        <v>17755</v>
      </c>
      <c r="U66" s="26">
        <f t="shared" si="27"/>
        <v>322046.39</v>
      </c>
      <c r="V66" s="24">
        <f t="shared" si="28"/>
        <v>0.001310574549257312</v>
      </c>
      <c r="W66" s="24">
        <f t="shared" si="29"/>
        <v>4.4559534674748616E-4</v>
      </c>
      <c r="X66" s="24">
        <f t="shared" si="30"/>
        <v>7.837515560010761E-4</v>
      </c>
      <c r="Y66" s="25">
        <f t="shared" si="31"/>
        <v>3.526882002004842E-5</v>
      </c>
      <c r="Z66" s="24">
        <f t="shared" si="32"/>
        <v>2.621149098514624E-5</v>
      </c>
      <c r="AA66" s="37">
        <f>VLOOKUP(D66,'Participaciones  Tabla I'!$B$5:$Y$110,24,FALSE)</f>
        <v>55.3705998474218</v>
      </c>
      <c r="AB66" s="23">
        <f t="shared" si="14"/>
        <v>4211.030805700431</v>
      </c>
      <c r="AC66" s="35">
        <f t="shared" si="15"/>
        <v>0.0027508179646088585</v>
      </c>
      <c r="AD66" s="22">
        <f t="shared" si="33"/>
        <v>6.877044911522146E-5</v>
      </c>
      <c r="AE66" s="22">
        <f t="shared" si="34"/>
        <v>0.0033750000000000004</v>
      </c>
      <c r="AF66" s="70">
        <f t="shared" si="35"/>
        <v>0.005456173891658957</v>
      </c>
      <c r="AG66" s="83"/>
      <c r="AH66" s="84"/>
      <c r="AI66" s="82"/>
      <c r="AJ66" s="68"/>
    </row>
    <row r="67" spans="1:36" s="6" customFormat="1" ht="13.5">
      <c r="A67" s="6" t="s">
        <v>37</v>
      </c>
      <c r="B67" s="6" t="s">
        <v>319</v>
      </c>
      <c r="C67" s="6" t="s">
        <v>402</v>
      </c>
      <c r="D67" s="32">
        <v>84</v>
      </c>
      <c r="E67" s="31" t="s">
        <v>319</v>
      </c>
      <c r="F67" s="23">
        <f>VLOOKUP(D67,'Participaciones  Tabla I'!B$5:D$110,3)</f>
        <v>7037</v>
      </c>
      <c r="G67" s="30">
        <f t="shared" si="19"/>
        <v>0.006107918421054916</v>
      </c>
      <c r="H67" s="30">
        <f t="shared" si="20"/>
        <v>0.003909067789475146</v>
      </c>
      <c r="I67" s="38">
        <f>VLOOKUP(E67,'Participaciones  Tabla I'!$C$5:$AD$110,5,FALSE)</f>
        <v>31187.76</v>
      </c>
      <c r="J67" s="38">
        <f>VLOOKUP(E67,'Participaciones  Tabla I'!$C$5:$AD$110,6,FALSE)</f>
        <v>0</v>
      </c>
      <c r="K67" s="26">
        <f t="shared" si="21"/>
        <v>31187.76</v>
      </c>
      <c r="L67" s="53">
        <f t="shared" si="22"/>
        <v>1.9360094406972863E-4</v>
      </c>
      <c r="M67" s="29">
        <f t="shared" si="23"/>
        <v>6.388831154301045E-5</v>
      </c>
      <c r="N67" s="39">
        <f>VLOOKUP(E67,'Participaciones  Tabla I'!$C$5:$AD$110,10,FALSE)</f>
        <v>138782</v>
      </c>
      <c r="O67" s="39">
        <f>VLOOKUP(E67,'Participaciones  Tabla I'!$C$5:$AD$110,11,FALSE)</f>
        <v>0</v>
      </c>
      <c r="P67" s="26">
        <f t="shared" si="24"/>
        <v>138782</v>
      </c>
      <c r="Q67" s="34">
        <f t="shared" si="25"/>
        <v>6.851217305916114E-4</v>
      </c>
      <c r="R67" s="51">
        <f t="shared" si="26"/>
        <v>2.2609017109523179E-4</v>
      </c>
      <c r="S67" s="39">
        <f>VLOOKUP(E67,'Participaciones  Tabla I'!$C$5:$AD$110,15,FALSE)</f>
        <v>0</v>
      </c>
      <c r="T67" s="39">
        <f>VLOOKUP(E67,'Participaciones  Tabla I'!$C$5:$AD$110,16,FALSE)</f>
        <v>0</v>
      </c>
      <c r="U67" s="26">
        <f t="shared" si="27"/>
        <v>0</v>
      </c>
      <c r="V67" s="24">
        <f t="shared" si="28"/>
        <v>0</v>
      </c>
      <c r="W67" s="24">
        <f t="shared" si="29"/>
        <v>0</v>
      </c>
      <c r="X67" s="24">
        <f t="shared" si="30"/>
        <v>2.8997848263824223E-4</v>
      </c>
      <c r="Y67" s="25">
        <f t="shared" si="31"/>
        <v>1.30490317187209E-5</v>
      </c>
      <c r="Z67" s="24">
        <f t="shared" si="32"/>
        <v>0</v>
      </c>
      <c r="AA67" s="37">
        <f>VLOOKUP(D67,'Participaciones  Tabla I'!$B$5:$Y$110,24,FALSE)</f>
        <v>53.2971545292461</v>
      </c>
      <c r="AB67" s="23">
        <f t="shared" si="14"/>
        <v>10562.074672912411</v>
      </c>
      <c r="AC67" s="35">
        <f t="shared" si="15"/>
        <v>0.006899580196482322</v>
      </c>
      <c r="AD67" s="22">
        <f t="shared" si="33"/>
        <v>1.7248950491205808E-4</v>
      </c>
      <c r="AE67" s="22">
        <f t="shared" si="34"/>
        <v>0.0033750000000000004</v>
      </c>
      <c r="AF67" s="70">
        <f t="shared" si="35"/>
        <v>0.007469606326105925</v>
      </c>
      <c r="AG67" s="83"/>
      <c r="AH67" s="84"/>
      <c r="AI67" s="82"/>
      <c r="AJ67" s="68"/>
    </row>
    <row r="68" spans="1:36" s="6" customFormat="1" ht="13.5">
      <c r="A68" s="6" t="s">
        <v>36</v>
      </c>
      <c r="B68" s="6" t="s">
        <v>320</v>
      </c>
      <c r="C68" s="6" t="s">
        <v>401</v>
      </c>
      <c r="D68" s="32">
        <v>85</v>
      </c>
      <c r="E68" s="31" t="s">
        <v>320</v>
      </c>
      <c r="F68" s="23">
        <f>VLOOKUP(D68,'Participaciones  Tabla I'!B$5:D$110,3)</f>
        <v>16680</v>
      </c>
      <c r="G68" s="30">
        <f t="shared" si="19"/>
        <v>0.014477771673041921</v>
      </c>
      <c r="H68" s="30">
        <f t="shared" si="20"/>
        <v>0.00926577387074683</v>
      </c>
      <c r="I68" s="38">
        <f>VLOOKUP(E68,'Participaciones  Tabla I'!$C$5:$AD$110,5,FALSE)</f>
        <v>91988.48</v>
      </c>
      <c r="J68" s="38">
        <f>VLOOKUP(E68,'Participaciones  Tabla I'!$C$5:$AD$110,6,FALSE)</f>
        <v>90214</v>
      </c>
      <c r="K68" s="26">
        <f t="shared" si="21"/>
        <v>182202.47999999998</v>
      </c>
      <c r="L68" s="53">
        <f t="shared" si="22"/>
        <v>0.0011310389761831517</v>
      </c>
      <c r="M68" s="29">
        <f t="shared" si="23"/>
        <v>3.7324286214044007E-4</v>
      </c>
      <c r="N68" s="39">
        <f>VLOOKUP(E68,'Participaciones  Tabla I'!$C$5:$AD$110,10,FALSE)</f>
        <v>106325.11</v>
      </c>
      <c r="O68" s="39">
        <f>VLOOKUP(E68,'Participaciones  Tabla I'!$C$5:$AD$110,11,FALSE)</f>
        <v>29135</v>
      </c>
      <c r="P68" s="26">
        <f t="shared" si="24"/>
        <v>135460.11</v>
      </c>
      <c r="Q68" s="34">
        <f t="shared" si="25"/>
        <v>6.687226368645072E-4</v>
      </c>
      <c r="R68" s="51">
        <f t="shared" si="26"/>
        <v>2.2067847016528738E-4</v>
      </c>
      <c r="S68" s="39">
        <f>VLOOKUP(E68,'Participaciones  Tabla I'!$C$5:$AD$110,15,FALSE)</f>
        <v>64582.04</v>
      </c>
      <c r="T68" s="39">
        <f>VLOOKUP(E68,'Participaciones  Tabla I'!$C$5:$AD$110,16,FALSE)</f>
        <v>56090</v>
      </c>
      <c r="U68" s="26">
        <f t="shared" si="27"/>
        <v>120672.04000000001</v>
      </c>
      <c r="V68" s="24">
        <f t="shared" si="28"/>
        <v>4.910774017089909E-4</v>
      </c>
      <c r="W68" s="24">
        <f t="shared" si="29"/>
        <v>1.6696631658105692E-4</v>
      </c>
      <c r="X68" s="24">
        <f t="shared" si="30"/>
        <v>7.608876488867844E-4</v>
      </c>
      <c r="Y68" s="25">
        <f t="shared" si="31"/>
        <v>3.4239944199905296E-5</v>
      </c>
      <c r="Z68" s="24">
        <f t="shared" si="32"/>
        <v>9.821548034179818E-6</v>
      </c>
      <c r="AA68" s="37">
        <f>VLOOKUP(D68,'Participaciones  Tabla I'!$B$5:$Y$110,24,FALSE)</f>
        <v>51.7476566748206</v>
      </c>
      <c r="AB68" s="23">
        <f t="shared" si="14"/>
        <v>28798.707018277284</v>
      </c>
      <c r="AC68" s="35">
        <f t="shared" si="15"/>
        <v>0.01881249610336382</v>
      </c>
      <c r="AD68" s="22">
        <f t="shared" si="33"/>
        <v>4.703124025840955E-4</v>
      </c>
      <c r="AE68" s="22">
        <f t="shared" si="34"/>
        <v>0.0033750000000000004</v>
      </c>
      <c r="AF68" s="70">
        <f t="shared" si="35"/>
        <v>0.013155147765565013</v>
      </c>
      <c r="AG68" s="83"/>
      <c r="AH68" s="84"/>
      <c r="AI68" s="82"/>
      <c r="AJ68" s="68"/>
    </row>
    <row r="69" spans="1:36" s="6" customFormat="1" ht="13.5">
      <c r="A69" s="6" t="s">
        <v>35</v>
      </c>
      <c r="B69" s="6" t="s">
        <v>321</v>
      </c>
      <c r="C69" s="6" t="s">
        <v>400</v>
      </c>
      <c r="D69" s="32">
        <v>86</v>
      </c>
      <c r="E69" s="31" t="s">
        <v>321</v>
      </c>
      <c r="F69" s="23">
        <f>VLOOKUP(D69,'Participaciones  Tabla I'!B$5:D$110,3)</f>
        <v>2133</v>
      </c>
      <c r="G69" s="30">
        <f t="shared" si="36" ref="G69:G84">F69/$F$86</f>
        <v>0.0018513841114267636</v>
      </c>
      <c r="H69" s="30">
        <f t="shared" si="37" ref="H69:H84">G69*0.64</f>
        <v>0.0011848858313131287</v>
      </c>
      <c r="I69" s="38">
        <f>VLOOKUP(E69,'Participaciones  Tabla I'!$C$5:$AD$110,5,FALSE)</f>
        <v>6513</v>
      </c>
      <c r="J69" s="38">
        <f>VLOOKUP(E69,'Participaciones  Tabla I'!$C$5:$AD$110,6,FALSE)</f>
        <v>0</v>
      </c>
      <c r="K69" s="26">
        <f t="shared" si="38" ref="K69:K84">I69+J69</f>
        <v>6513</v>
      </c>
      <c r="L69" s="53">
        <f t="shared" si="39" ref="L69:L84">K69/$K$86</f>
        <v>4.0430058097347894E-5</v>
      </c>
      <c r="M69" s="29">
        <f t="shared" si="40" ref="M69:M84">L69*0.33</f>
        <v>1.3341919172124805E-5</v>
      </c>
      <c r="N69" s="39">
        <f>VLOOKUP(E69,'Participaciones  Tabla I'!$C$5:$AD$110,10,FALSE)</f>
        <v>33382</v>
      </c>
      <c r="O69" s="39">
        <f>VLOOKUP(E69,'Participaciones  Tabla I'!$C$5:$AD$110,11,FALSE)</f>
        <v>0</v>
      </c>
      <c r="P69" s="26">
        <f t="shared" si="41" ref="P69:P84">N69+O69</f>
        <v>33382</v>
      </c>
      <c r="Q69" s="34">
        <f t="shared" si="42" ref="Q69:Q84">P69/$P$86</f>
        <v>1.647961090819355E-4</v>
      </c>
      <c r="R69" s="51">
        <f t="shared" si="43" ref="R69:R84">Q69*0.33</f>
        <v>5.438271599703872E-5</v>
      </c>
      <c r="S69" s="39">
        <f>VLOOKUP(E69,'Participaciones  Tabla I'!$C$5:$AD$110,15,FALSE)</f>
        <v>28228</v>
      </c>
      <c r="T69" s="39">
        <f>VLOOKUP(E69,'Participaciones  Tabla I'!$C$5:$AD$110,16,FALSE)</f>
        <v>0</v>
      </c>
      <c r="U69" s="26">
        <f t="shared" si="44" ref="U69:U84">S69+T69</f>
        <v>28228</v>
      </c>
      <c r="V69" s="24">
        <f t="shared" si="45" ref="V69:V84">U69/$U$86</f>
        <v>1.1487443897891669E-4</v>
      </c>
      <c r="W69" s="24">
        <f t="shared" si="46" ref="W69:W84">V69*0.34</f>
        <v>3.905730925283168E-5</v>
      </c>
      <c r="X69" s="24">
        <f t="shared" si="47" ref="X69:X84">M69+R69+W69</f>
        <v>1.067819444219952E-4</v>
      </c>
      <c r="Y69" s="25">
        <f t="shared" si="48" ref="Y69:Y84">X69*0.045</f>
        <v>4.805187498989784E-6</v>
      </c>
      <c r="Z69" s="24">
        <f t="shared" si="49" ref="Z69:Z84">V69*0.02</f>
        <v>2.297488779578334E-6</v>
      </c>
      <c r="AA69" s="37">
        <f>VLOOKUP(D69,'Participaciones  Tabla I'!$B$5:$Y$110,24,FALSE)</f>
        <v>50.617111523905</v>
      </c>
      <c r="AB69" s="23">
        <f t="shared" si="14"/>
        <v>4033.819883000745</v>
      </c>
      <c r="AC69" s="35">
        <f t="shared" si="15"/>
        <v>0.0026350565246717962</v>
      </c>
      <c r="AD69" s="22">
        <f t="shared" si="50" ref="AD69:AD83">AC69*0.025</f>
        <v>6.587641311679491E-5</v>
      </c>
      <c r="AE69" s="22">
        <f t="shared" si="51" ref="AE69:AE84">0.27/80</f>
        <v>0.0033750000000000004</v>
      </c>
      <c r="AF69" s="70">
        <f t="shared" si="52" ref="AF69:AF84">H69+Y69+Z69+AD69+AE69</f>
        <v>0.0046328649207084925</v>
      </c>
      <c r="AG69" s="83"/>
      <c r="AH69" s="84"/>
      <c r="AI69" s="82"/>
      <c r="AJ69" s="68"/>
    </row>
    <row r="70" spans="1:36" s="6" customFormat="1" ht="13.5">
      <c r="A70" s="6" t="s">
        <v>34</v>
      </c>
      <c r="B70" s="6" t="s">
        <v>322</v>
      </c>
      <c r="C70" s="6" t="s">
        <v>399</v>
      </c>
      <c r="D70" s="32">
        <v>87</v>
      </c>
      <c r="E70" s="31" t="s">
        <v>322</v>
      </c>
      <c r="F70" s="23">
        <f>VLOOKUP(D70,'Participaciones  Tabla I'!B$5:D$110,3)</f>
        <v>5464</v>
      </c>
      <c r="G70" s="30">
        <f t="shared" si="36"/>
        <v>0.004742598586420926</v>
      </c>
      <c r="H70" s="30">
        <f t="shared" si="37"/>
        <v>0.003035263095309393</v>
      </c>
      <c r="I70" s="38">
        <f>VLOOKUP(E70,'Participaciones  Tabla I'!$C$5:$AD$110,5,FALSE)</f>
        <v>26669</v>
      </c>
      <c r="J70" s="38">
        <f>VLOOKUP(E70,'Participaciones  Tabla I'!$C$5:$AD$110,6,FALSE)</f>
        <v>405</v>
      </c>
      <c r="K70" s="26">
        <f t="shared" si="38"/>
        <v>27074</v>
      </c>
      <c r="L70" s="53">
        <f t="shared" si="39"/>
        <v>1.6806439320245613E-4</v>
      </c>
      <c r="M70" s="29">
        <f t="shared" si="40"/>
        <v>5.5461249756810526E-5</v>
      </c>
      <c r="N70" s="39">
        <f>VLOOKUP(E70,'Participaciones  Tabla I'!$C$5:$AD$110,10,FALSE)</f>
        <v>667096.92</v>
      </c>
      <c r="O70" s="39">
        <f>VLOOKUP(E70,'Participaciones  Tabla I'!$C$5:$AD$110,11,FALSE)</f>
        <v>3405</v>
      </c>
      <c r="P70" s="26">
        <f t="shared" si="41"/>
        <v>670501.92</v>
      </c>
      <c r="Q70" s="34">
        <f t="shared" si="42"/>
        <v>0.003310050552632173</v>
      </c>
      <c r="R70" s="51">
        <f t="shared" si="43"/>
        <v>0.001092316682368617</v>
      </c>
      <c r="S70" s="39">
        <f>VLOOKUP(E70,'Participaciones  Tabla I'!$C$5:$AD$110,15,FALSE)</f>
        <v>452556.45</v>
      </c>
      <c r="T70" s="39">
        <f>VLOOKUP(E70,'Participaciones  Tabla I'!$C$5:$AD$110,16,FALSE)</f>
        <v>4190</v>
      </c>
      <c r="U70" s="26">
        <f t="shared" si="44"/>
        <v>456746.45</v>
      </c>
      <c r="V70" s="24">
        <f t="shared" si="45"/>
        <v>0.0018587392730395997</v>
      </c>
      <c r="W70" s="24">
        <f t="shared" si="46"/>
        <v>6.31971352833464E-4</v>
      </c>
      <c r="X70" s="24">
        <f t="shared" si="47"/>
        <v>0.0017797492849588913</v>
      </c>
      <c r="Y70" s="25">
        <f t="shared" si="48"/>
        <v>8.00887178231501E-5</v>
      </c>
      <c r="Z70" s="24">
        <f t="shared" si="49"/>
        <v>3.7174785460791996E-5</v>
      </c>
      <c r="AA70" s="37">
        <f>VLOOKUP(D70,'Participaciones  Tabla I'!$B$5:$Y$110,24,FALSE)</f>
        <v>51.1397437500784</v>
      </c>
      <c r="AB70" s="23">
        <f t="shared" si="53" ref="AB70:AB84">F70*(9.261-0.1456*AA70)</f>
        <v>9917.451285777623</v>
      </c>
      <c r="AC70" s="35">
        <f t="shared" si="54" ref="AC70:AC83">AB70/$AB$86</f>
        <v>0.006478485771968265</v>
      </c>
      <c r="AD70" s="22">
        <f t="shared" si="50"/>
        <v>1.6196214429920665E-4</v>
      </c>
      <c r="AE70" s="22">
        <f t="shared" si="51"/>
        <v>0.0033750000000000004</v>
      </c>
      <c r="AF70" s="70">
        <f t="shared" si="52"/>
        <v>0.006689488742892542</v>
      </c>
      <c r="AG70" s="83"/>
      <c r="AH70" s="84"/>
      <c r="AI70" s="82"/>
      <c r="AJ70" s="68"/>
    </row>
    <row r="71" spans="1:36" s="6" customFormat="1" ht="13.5">
      <c r="A71" s="6" t="s">
        <v>33</v>
      </c>
      <c r="B71" s="6" t="s">
        <v>323</v>
      </c>
      <c r="C71" s="6" t="s">
        <v>398</v>
      </c>
      <c r="D71" s="32">
        <v>88</v>
      </c>
      <c r="E71" s="33" t="s">
        <v>323</v>
      </c>
      <c r="F71" s="23">
        <f>VLOOKUP(D71,'Participaciones  Tabla I'!B$5:D$110,3)</f>
        <v>1917</v>
      </c>
      <c r="G71" s="30">
        <f t="shared" si="36"/>
        <v>0.0016639021760924077</v>
      </c>
      <c r="H71" s="30">
        <f t="shared" si="37"/>
        <v>0.001064897392699141</v>
      </c>
      <c r="I71" s="38">
        <f>VLOOKUP(E71,'Participaciones  Tabla I'!$C$5:$AD$110,5,FALSE)</f>
        <v>22760</v>
      </c>
      <c r="J71" s="38">
        <f>VLOOKUP(E71,'Participaciones  Tabla I'!$C$5:$AD$110,6,FALSE)</f>
        <v>0</v>
      </c>
      <c r="K71" s="26">
        <f t="shared" si="38"/>
        <v>22760</v>
      </c>
      <c r="L71" s="53">
        <f t="shared" si="39"/>
        <v>1.41284833762573E-4</v>
      </c>
      <c r="M71" s="29">
        <f t="shared" si="40"/>
        <v>4.662399514164909E-5</v>
      </c>
      <c r="N71" s="39">
        <f>VLOOKUP(E71,'Participaciones  Tabla I'!$C$5:$AD$110,10,FALSE)</f>
        <v>17180</v>
      </c>
      <c r="O71" s="39">
        <f>VLOOKUP(E71,'Participaciones  Tabla I'!$C$5:$AD$110,11,FALSE)</f>
        <v>0</v>
      </c>
      <c r="P71" s="26">
        <f t="shared" si="41"/>
        <v>17180</v>
      </c>
      <c r="Q71" s="34">
        <f t="shared" si="42"/>
        <v>8.4812088970932E-5</v>
      </c>
      <c r="R71" s="51">
        <f t="shared" si="43"/>
        <v>2.798798936040756E-5</v>
      </c>
      <c r="S71" s="39">
        <f>VLOOKUP(E71,'Participaciones  Tabla I'!$C$5:$AD$110,15,FALSE)</f>
        <v>9480</v>
      </c>
      <c r="T71" s="39">
        <f>VLOOKUP(E71,'Participaciones  Tabla I'!$C$5:$AD$110,16,FALSE)</f>
        <v>0</v>
      </c>
      <c r="U71" s="26">
        <f t="shared" si="44"/>
        <v>9480</v>
      </c>
      <c r="V71" s="24">
        <f t="shared" si="45"/>
        <v>3.857905914411684E-5</v>
      </c>
      <c r="W71" s="24">
        <f t="shared" si="46"/>
        <v>1.3116880108999727E-5</v>
      </c>
      <c r="X71" s="24">
        <f t="shared" si="47"/>
        <v>8.772886461105639E-5</v>
      </c>
      <c r="Y71" s="25">
        <f t="shared" si="48"/>
        <v>3.947798907497537E-6</v>
      </c>
      <c r="Z71" s="24">
        <f t="shared" si="49"/>
        <v>7.715811828823368E-7</v>
      </c>
      <c r="AA71" s="37">
        <f>VLOOKUP(D71,'Participaciones  Tabla I'!$B$5:$Y$110,24,FALSE)</f>
        <v>52.5405473360637</v>
      </c>
      <c r="AB71" s="23">
        <f t="shared" si="53"/>
        <v>3088.4716221851104</v>
      </c>
      <c r="AC71" s="35">
        <f t="shared" si="54"/>
        <v>0.002017516283659277</v>
      </c>
      <c r="AD71" s="22">
        <f t="shared" si="50"/>
        <v>5.043790709148193E-5</v>
      </c>
      <c r="AE71" s="22">
        <f t="shared" si="51"/>
        <v>0.0033750000000000004</v>
      </c>
      <c r="AF71" s="70">
        <f t="shared" si="52"/>
        <v>0.004495054679881003</v>
      </c>
      <c r="AG71" s="83"/>
      <c r="AH71" s="84"/>
      <c r="AI71" s="82"/>
      <c r="AJ71" s="68"/>
    </row>
    <row r="72" spans="1:36" s="6" customFormat="1" ht="13.5">
      <c r="A72" s="6" t="s">
        <v>32</v>
      </c>
      <c r="B72" s="6" t="s">
        <v>324</v>
      </c>
      <c r="C72" s="6" t="s">
        <v>397</v>
      </c>
      <c r="D72" s="32">
        <v>89</v>
      </c>
      <c r="E72" s="31" t="s">
        <v>324</v>
      </c>
      <c r="F72" s="23">
        <f>VLOOKUP(D72,'Participaciones  Tabla I'!B$5:D$110,3)</f>
        <v>40495</v>
      </c>
      <c r="G72" s="30">
        <f t="shared" si="36"/>
        <v>0.03514852301557749</v>
      </c>
      <c r="H72" s="30">
        <f t="shared" si="37"/>
        <v>0.022495054729969596</v>
      </c>
      <c r="I72" s="38">
        <f>VLOOKUP(E72,'Participaciones  Tabla I'!$C$5:$AD$110,5,FALSE)</f>
        <v>1102499.61</v>
      </c>
      <c r="J72" s="38">
        <f>VLOOKUP(E72,'Participaciones  Tabla I'!$C$5:$AD$110,6,FALSE)</f>
        <v>1757771.21</v>
      </c>
      <c r="K72" s="26">
        <f t="shared" si="38"/>
        <v>2860270.8200000003</v>
      </c>
      <c r="L72" s="53">
        <f t="shared" si="39"/>
        <v>0.01775539926711944</v>
      </c>
      <c r="M72" s="29">
        <f t="shared" si="40"/>
        <v>0.005859281758149415</v>
      </c>
      <c r="N72" s="39">
        <f>VLOOKUP(E72,'Participaciones  Tabla I'!$C$5:$AD$110,10,FALSE)</f>
        <v>1188156.49</v>
      </c>
      <c r="O72" s="39">
        <f>VLOOKUP(E72,'Participaciones  Tabla I'!$C$5:$AD$110,11,FALSE)</f>
        <v>1788311.96</v>
      </c>
      <c r="P72" s="26">
        <f t="shared" si="41"/>
        <v>2976468.45</v>
      </c>
      <c r="Q72" s="34">
        <f t="shared" si="42"/>
        <v>0.014693859546016999</v>
      </c>
      <c r="R72" s="51">
        <f t="shared" si="43"/>
        <v>0.00484897365018561</v>
      </c>
      <c r="S72" s="39">
        <f>VLOOKUP(E72,'Participaciones  Tabla I'!$C$5:$AD$110,15,FALSE)</f>
        <v>1353877.77</v>
      </c>
      <c r="T72" s="39">
        <f>VLOOKUP(E72,'Participaciones  Tabla I'!$C$5:$AD$110,16,FALSE)</f>
        <v>1836298.63</v>
      </c>
      <c r="U72" s="26">
        <f t="shared" si="44"/>
        <v>3190176.40</v>
      </c>
      <c r="V72" s="24">
        <f t="shared" si="45"/>
        <v>0.012982489875080775</v>
      </c>
      <c r="W72" s="24">
        <f>V72*0.34</f>
        <v>0.004414046557527464</v>
      </c>
      <c r="X72" s="24">
        <f t="shared" si="47"/>
        <v>0.015122301965862488</v>
      </c>
      <c r="Y72" s="25">
        <f t="shared" si="48"/>
        <v>6.805035884638119E-4</v>
      </c>
      <c r="Z72" s="24">
        <f t="shared" si="49"/>
        <v>2.596497975016155E-4</v>
      </c>
      <c r="AA72" s="37">
        <f>VLOOKUP(D72,'Participaciones  Tabla I'!$B$5:$Y$110,24,FALSE)</f>
        <v>56.0262301483597</v>
      </c>
      <c r="AB72" s="23">
        <f t="shared" si="53"/>
        <v>44689.50815670045</v>
      </c>
      <c r="AC72" s="35">
        <f t="shared" si="54"/>
        <v>0.029193018892327484</v>
      </c>
      <c r="AD72" s="22">
        <f t="shared" si="50"/>
        <v>7.298254723081872E-4</v>
      </c>
      <c r="AE72" s="22">
        <f t="shared" si="51"/>
        <v>0.0033750000000000004</v>
      </c>
      <c r="AF72" s="70">
        <f t="shared" si="52"/>
        <v>0.027540033588243206</v>
      </c>
      <c r="AG72" s="83"/>
      <c r="AH72" s="84"/>
      <c r="AI72" s="82"/>
      <c r="AJ72" s="68"/>
    </row>
    <row r="73" spans="1:36" s="6" customFormat="1" ht="13.5">
      <c r="A73" s="6" t="s">
        <v>31</v>
      </c>
      <c r="B73" s="6" t="s">
        <v>325</v>
      </c>
      <c r="C73" s="6" t="s">
        <v>396</v>
      </c>
      <c r="D73" s="32">
        <v>90</v>
      </c>
      <c r="E73" s="31" t="s">
        <v>325</v>
      </c>
      <c r="F73" s="23">
        <f>VLOOKUP(D73,'Participaciones  Tabla I'!B$5:D$110,3)</f>
        <v>7503</v>
      </c>
      <c r="G73" s="30">
        <f t="shared" si="36"/>
        <v>0.006512393337100331</v>
      </c>
      <c r="H73" s="30">
        <f t="shared" si="37"/>
        <v>0.004167931735744212</v>
      </c>
      <c r="I73" s="38">
        <f>VLOOKUP(E73,'Participaciones  Tabla I'!$C$5:$AD$110,5,FALSE)</f>
        <v>9038</v>
      </c>
      <c r="J73" s="38">
        <f>VLOOKUP(E73,'Participaciones  Tabla I'!$C$5:$AD$110,6,FALSE)</f>
        <v>8278</v>
      </c>
      <c r="K73" s="26">
        <f t="shared" si="38"/>
        <v>17316</v>
      </c>
      <c r="L73" s="53">
        <f t="shared" si="39"/>
        <v>1.0749069338456564E-4</v>
      </c>
      <c r="M73" s="29">
        <f t="shared" si="40"/>
        <v>3.547192881690666E-5</v>
      </c>
      <c r="N73" s="39">
        <f>VLOOKUP(E73,'Participaciones  Tabla I'!$C$5:$AD$110,10,FALSE)</f>
        <v>26792</v>
      </c>
      <c r="O73" s="39">
        <f>VLOOKUP(E73,'Participaciones  Tabla I'!$C$5:$AD$110,11,FALSE)</f>
        <v>10123</v>
      </c>
      <c r="P73" s="26">
        <f t="shared" si="41"/>
        <v>36915</v>
      </c>
      <c r="Q73" s="34">
        <f t="shared" si="42"/>
        <v>1.8223738442153402E-4</v>
      </c>
      <c r="R73" s="51">
        <f t="shared" si="43"/>
        <v>6.013833685910623E-5</v>
      </c>
      <c r="S73" s="39">
        <f>VLOOKUP(E73,'Participaciones  Tabla I'!$C$5:$AD$110,15,FALSE)</f>
        <v>32217</v>
      </c>
      <c r="T73" s="39">
        <f>VLOOKUP(E73,'Participaciones  Tabla I'!$C$5:$AD$110,16,FALSE)</f>
        <v>21222.50</v>
      </c>
      <c r="U73" s="26">
        <f t="shared" si="44"/>
        <v>53439.50</v>
      </c>
      <c r="V73" s="24">
        <f t="shared" si="45"/>
        <v>2.1747316784093165E-4</v>
      </c>
      <c r="W73" s="24">
        <f t="shared" si="46"/>
        <v>7.394087706591676E-5</v>
      </c>
      <c r="X73" s="24">
        <f t="shared" si="47"/>
        <v>1.6955114274192965E-4</v>
      </c>
      <c r="Y73" s="25">
        <f t="shared" si="48"/>
        <v>7.629801423386834E-6</v>
      </c>
      <c r="Z73" s="24">
        <f t="shared" si="49"/>
        <v>4.349463356818633E-6</v>
      </c>
      <c r="AA73" s="37">
        <f>VLOOKUP(D73,'Participaciones  Tabla I'!$B$5:$Y$110,24,FALSE)</f>
        <v>51.8840725621149</v>
      </c>
      <c r="AB73" s="23">
        <f t="shared" si="53"/>
        <v>12805.212799275389</v>
      </c>
      <c r="AC73" s="35">
        <f t="shared" si="54"/>
        <v>0.008364889983992173</v>
      </c>
      <c r="AD73" s="22">
        <f t="shared" si="50"/>
        <v>2.0912224959980432E-4</v>
      </c>
      <c r="AE73" s="22">
        <f t="shared" si="51"/>
        <v>0.0033750000000000004</v>
      </c>
      <c r="AF73" s="70">
        <f t="shared" si="52"/>
        <v>0.007764033250124223</v>
      </c>
      <c r="AG73" s="83"/>
      <c r="AH73" s="84"/>
      <c r="AI73" s="82"/>
      <c r="AJ73" s="68"/>
    </row>
    <row r="74" spans="1:36" s="6" customFormat="1" ht="13.5">
      <c r="A74" s="6" t="s">
        <v>30</v>
      </c>
      <c r="B74" s="6" t="s">
        <v>327</v>
      </c>
      <c r="C74" s="6" t="s">
        <v>395</v>
      </c>
      <c r="D74" s="32">
        <v>92</v>
      </c>
      <c r="E74" s="31" t="s">
        <v>327</v>
      </c>
      <c r="F74" s="23">
        <f>VLOOKUP(D74,'Participaciones  Tabla I'!B$5:D$110,3)</f>
        <v>7888</v>
      </c>
      <c r="G74" s="30">
        <f t="shared" si="36"/>
        <v>0.006846562527395364</v>
      </c>
      <c r="H74" s="30">
        <f t="shared" si="37"/>
        <v>0.004381800017533033</v>
      </c>
      <c r="I74" s="38">
        <f>VLOOKUP(E74,'Participaciones  Tabla I'!$C$5:$AD$110,5,FALSE)</f>
        <v>9226.32</v>
      </c>
      <c r="J74" s="38">
        <f>VLOOKUP(E74,'Participaciones  Tabla I'!$C$5:$AD$110,6,FALSE)</f>
        <v>0</v>
      </c>
      <c r="K74" s="26">
        <f t="shared" si="38"/>
        <v>9226.32</v>
      </c>
      <c r="L74" s="53">
        <f t="shared" si="39"/>
        <v>5.7273246372596775E-5</v>
      </c>
      <c r="M74" s="29">
        <f t="shared" si="40"/>
        <v>1.8900171302956936E-5</v>
      </c>
      <c r="N74" s="39">
        <f>VLOOKUP(E74,'Participaciones  Tabla I'!$C$5:$AD$110,10,FALSE)</f>
        <v>0</v>
      </c>
      <c r="O74" s="39">
        <f>VLOOKUP(E74,'Participaciones  Tabla I'!$C$5:$AD$110,11,FALSE)</f>
        <v>0</v>
      </c>
      <c r="P74" s="26">
        <f t="shared" si="41"/>
        <v>0</v>
      </c>
      <c r="Q74" s="34">
        <f t="shared" si="42"/>
        <v>0</v>
      </c>
      <c r="R74" s="51">
        <f t="shared" si="43"/>
        <v>0</v>
      </c>
      <c r="S74" s="39">
        <f>VLOOKUP(E74,'Participaciones  Tabla I'!$C$5:$AD$110,15,FALSE)</f>
        <v>0</v>
      </c>
      <c r="T74" s="39">
        <f>VLOOKUP(E74,'Participaciones  Tabla I'!$C$5:$AD$110,16,FALSE)</f>
        <v>0</v>
      </c>
      <c r="U74" s="26">
        <f t="shared" si="44"/>
        <v>0</v>
      </c>
      <c r="V74" s="24">
        <f t="shared" si="45"/>
        <v>0</v>
      </c>
      <c r="W74" s="24">
        <f t="shared" si="46"/>
        <v>0</v>
      </c>
      <c r="X74" s="24">
        <f t="shared" si="47"/>
        <v>1.8900171302956936E-5</v>
      </c>
      <c r="Y74" s="25">
        <f t="shared" si="48"/>
        <v>8.505077086330621E-7</v>
      </c>
      <c r="Z74" s="24">
        <f t="shared" si="49"/>
        <v>0</v>
      </c>
      <c r="AA74" s="37">
        <f>VLOOKUP(D74,'Participaciones  Tabla I'!$B$5:$Y$110,24,FALSE)</f>
        <v>48.9457723262077</v>
      </c>
      <c r="AB74" s="23">
        <f t="shared" si="53"/>
        <v>16836.90089291119</v>
      </c>
      <c r="AC74" s="35">
        <f t="shared" si="54"/>
        <v>0.010998553936452457</v>
      </c>
      <c r="AD74" s="22">
        <f t="shared" si="50"/>
        <v>2.7496384841131145E-4</v>
      </c>
      <c r="AE74" s="22">
        <f t="shared" si="51"/>
        <v>0.0033750000000000004</v>
      </c>
      <c r="AF74" s="70">
        <f t="shared" si="52"/>
        <v>0.008032614373652977</v>
      </c>
      <c r="AG74" s="83"/>
      <c r="AH74" s="84"/>
      <c r="AI74" s="82"/>
      <c r="AJ74" s="68"/>
    </row>
    <row r="75" spans="1:36" s="6" customFormat="1" ht="13.5">
      <c r="A75" s="6" t="s">
        <v>29</v>
      </c>
      <c r="B75" s="6" t="s">
        <v>330</v>
      </c>
      <c r="C75" s="6" t="s">
        <v>394</v>
      </c>
      <c r="D75" s="32">
        <v>95</v>
      </c>
      <c r="E75" s="31" t="s">
        <v>330</v>
      </c>
      <c r="F75" s="23">
        <f>VLOOKUP(D75,'Participaciones  Tabla I'!B$5:D$110,3)</f>
        <v>5690</v>
      </c>
      <c r="G75" s="30">
        <f t="shared" si="36"/>
        <v>0.004938760240983725</v>
      </c>
      <c r="H75" s="30">
        <f t="shared" si="37"/>
        <v>0.003160806554229584</v>
      </c>
      <c r="I75" s="38">
        <f>VLOOKUP(E75,'Participaciones  Tabla I'!$C$5:$AD$110,5,FALSE)</f>
        <v>154925</v>
      </c>
      <c r="J75" s="38">
        <f>VLOOKUP(E75,'Participaciones  Tabla I'!$C$5:$AD$110,6,FALSE)</f>
        <v>13290</v>
      </c>
      <c r="K75" s="26">
        <f t="shared" si="38"/>
        <v>168215</v>
      </c>
      <c r="L75" s="53">
        <f t="shared" si="39"/>
        <v>0.0010442103827491749</v>
      </c>
      <c r="M75" s="29">
        <f t="shared" si="40"/>
        <v>3.445894263072277E-4</v>
      </c>
      <c r="N75" s="39">
        <f>VLOOKUP(E75,'Participaciones  Tabla I'!$C$5:$AD$110,10,FALSE)</f>
        <v>207174</v>
      </c>
      <c r="O75" s="39">
        <f>VLOOKUP(E75,'Participaciones  Tabla I'!$C$5:$AD$110,11,FALSE)</f>
        <v>68970</v>
      </c>
      <c r="P75" s="26">
        <f t="shared" si="41"/>
        <v>276144</v>
      </c>
      <c r="Q75" s="34">
        <f t="shared" si="42"/>
        <v>0.0013632333816524472</v>
      </c>
      <c r="R75" s="51">
        <f t="shared" si="43"/>
        <v>4.498670159453076E-4</v>
      </c>
      <c r="S75" s="39">
        <f>VLOOKUP(E75,'Participaciones  Tabla I'!$C$5:$AD$110,15,FALSE)</f>
        <v>289285</v>
      </c>
      <c r="T75" s="39">
        <f>VLOOKUP(E75,'Participaciones  Tabla I'!$C$5:$AD$110,16,FALSE)</f>
        <v>117475</v>
      </c>
      <c r="U75" s="26">
        <f t="shared" si="44"/>
        <v>406760</v>
      </c>
      <c r="V75" s="24">
        <f t="shared" si="45"/>
        <v>0.0016553183647110723</v>
      </c>
      <c r="W75" s="24">
        <f t="shared" si="46"/>
        <v>5.628082440017647E-4</v>
      </c>
      <c r="X75" s="24">
        <f t="shared" si="47"/>
        <v>0.0013572646862542999</v>
      </c>
      <c r="Y75" s="25">
        <f t="shared" si="48"/>
        <v>6.10769108814435E-5</v>
      </c>
      <c r="Z75" s="24">
        <f t="shared" si="49"/>
        <v>3.310636729422145E-5</v>
      </c>
      <c r="AA75" s="37">
        <f>VLOOKUP(D75,'Participaciones  Tabla I'!$B$5:$Y$110,24,FALSE)</f>
        <v>55.0001326669543</v>
      </c>
      <c r="AB75" s="23">
        <f t="shared" si="53"/>
        <v>7129.460090204367</v>
      </c>
      <c r="AC75" s="35">
        <f t="shared" si="54"/>
        <v>0.004657255621960233</v>
      </c>
      <c r="AD75" s="22">
        <f t="shared" si="50"/>
        <v>1.1643139054900584E-4</v>
      </c>
      <c r="AE75" s="22">
        <f t="shared" si="51"/>
        <v>0.0033750000000000004</v>
      </c>
      <c r="AF75" s="70">
        <f t="shared" si="52"/>
        <v>0.006746421222954255</v>
      </c>
      <c r="AG75" s="83"/>
      <c r="AH75" s="84"/>
      <c r="AI75" s="82"/>
      <c r="AJ75" s="68"/>
    </row>
    <row r="76" spans="1:36" s="6" customFormat="1" ht="13.5">
      <c r="A76" s="6" t="s">
        <v>28</v>
      </c>
      <c r="B76" s="6" t="s">
        <v>331</v>
      </c>
      <c r="C76" s="6" t="s">
        <v>393</v>
      </c>
      <c r="D76" s="32">
        <v>96</v>
      </c>
      <c r="E76" s="31" t="s">
        <v>331</v>
      </c>
      <c r="F76" s="23">
        <f>VLOOKUP(D76,'Participaciones  Tabla I'!B$5:D$110,3)</f>
        <v>80672</v>
      </c>
      <c r="G76" s="30">
        <f t="shared" si="36"/>
        <v>0.07002103095969052</v>
      </c>
      <c r="H76" s="30">
        <f t="shared" si="37"/>
        <v>0.044813459814201935</v>
      </c>
      <c r="I76" s="38">
        <f>VLOOKUP(E76,'Participaciones  Tabla I'!$C$5:$AD$110,5,FALSE)</f>
        <v>4091545.04</v>
      </c>
      <c r="J76" s="38">
        <f>VLOOKUP(E76,'Participaciones  Tabla I'!$C$5:$AD$110,6,FALSE)</f>
        <v>6137486.61</v>
      </c>
      <c r="K76" s="26">
        <f t="shared" si="38"/>
        <v>1.022903165E7</v>
      </c>
      <c r="L76" s="53">
        <f t="shared" si="39"/>
        <v>0.06349767294474287</v>
      </c>
      <c r="M76" s="29">
        <f t="shared" si="40"/>
        <v>0.02095423207176515</v>
      </c>
      <c r="N76" s="39">
        <f>VLOOKUP(E76,'Participaciones  Tabla I'!$C$5:$AD$110,10,FALSE)</f>
        <v>5409405.88</v>
      </c>
      <c r="O76" s="39">
        <f>VLOOKUP(E76,'Participaciones  Tabla I'!$C$5:$AD$110,11,FALSE)</f>
        <v>9510051.52</v>
      </c>
      <c r="P76" s="26">
        <f t="shared" si="41"/>
        <v>1.4919457399999999E7</v>
      </c>
      <c r="Q76" s="34">
        <f t="shared" si="42"/>
        <v>0.07365252319015306</v>
      </c>
      <c r="R76" s="51">
        <f t="shared" si="43"/>
        <v>0.02430533265275051</v>
      </c>
      <c r="S76" s="39">
        <f>VLOOKUP(E76,'Participaciones  Tabla I'!$C$5:$AD$110,15,FALSE)</f>
        <v>7530762.38</v>
      </c>
      <c r="T76" s="39">
        <f>VLOOKUP(E76,'Participaciones  Tabla I'!$C$5:$AD$110,16,FALSE)</f>
        <v>8937348.15</v>
      </c>
      <c r="U76" s="26">
        <f t="shared" si="44"/>
        <v>1.6468110530000001E7</v>
      </c>
      <c r="V76" s="24">
        <f t="shared" si="45"/>
        <v>0.06701732174353622</v>
      </c>
      <c r="W76" s="24">
        <f t="shared" si="46"/>
        <v>0.02278588939280232</v>
      </c>
      <c r="X76" s="24">
        <f t="shared" si="47"/>
        <v>0.06804545411731798</v>
      </c>
      <c r="Y76" s="25">
        <f t="shared" si="48"/>
        <v>0.003062045435279309</v>
      </c>
      <c r="Z76" s="24">
        <f t="shared" si="49"/>
        <v>0.0013403464348707246</v>
      </c>
      <c r="AA76" s="37">
        <f>VLOOKUP(D76,'Participaciones  Tabla I'!$B$5:$Y$110,24,FALSE)</f>
        <v>53.4162083988111</v>
      </c>
      <c r="AB76" s="23">
        <f t="shared" si="53"/>
        <v>119684.98380904166</v>
      </c>
      <c r="AC76" s="35">
        <f t="shared" si="54"/>
        <v>0.07818313822595517</v>
      </c>
      <c r="AD76" s="22">
        <f t="shared" si="50"/>
        <v>0.0019545784556488795</v>
      </c>
      <c r="AE76" s="22">
        <f t="shared" si="51"/>
        <v>0.0033750000000000004</v>
      </c>
      <c r="AF76" s="70">
        <f t="shared" si="52"/>
        <v>0.05454543014000085</v>
      </c>
      <c r="AG76" s="83"/>
      <c r="AH76" s="84"/>
      <c r="AI76" s="82"/>
      <c r="AJ76" s="68"/>
    </row>
    <row r="77" spans="1:36" s="6" customFormat="1" ht="13.5">
      <c r="A77" s="6" t="s">
        <v>27</v>
      </c>
      <c r="B77" s="6" t="s">
        <v>332</v>
      </c>
      <c r="C77" s="6" t="s">
        <v>392</v>
      </c>
      <c r="D77" s="32">
        <v>97</v>
      </c>
      <c r="E77" s="31" t="s">
        <v>332</v>
      </c>
      <c r="F77" s="23">
        <f>VLOOKUP(D77,'Participaciones  Tabla I'!B$5:D$110,3)</f>
        <v>3684</v>
      </c>
      <c r="G77" s="30">
        <f t="shared" si="36"/>
        <v>0.0031976085637581797</v>
      </c>
      <c r="H77" s="30">
        <f t="shared" si="37"/>
        <v>0.002046469480805235</v>
      </c>
      <c r="I77" s="38">
        <f>VLOOKUP(E77,'Participaciones  Tabla I'!$C$5:$AD$110,5,FALSE)</f>
        <v>48324</v>
      </c>
      <c r="J77" s="38">
        <f>VLOOKUP(E77,'Participaciones  Tabla I'!$C$5:$AD$110,6,FALSE)</f>
        <v>240</v>
      </c>
      <c r="K77" s="26">
        <f t="shared" si="38"/>
        <v>48564</v>
      </c>
      <c r="L77" s="53">
        <f t="shared" si="39"/>
        <v>3.0146558290182756E-4</v>
      </c>
      <c r="M77" s="29">
        <f t="shared" si="40"/>
        <v>9.94836423576031E-5</v>
      </c>
      <c r="N77" s="39">
        <f>VLOOKUP(E77,'Participaciones  Tabla I'!$C$5:$AD$110,10,FALSE)</f>
        <v>0</v>
      </c>
      <c r="O77" s="39">
        <f>VLOOKUP(E77,'Participaciones  Tabla I'!$C$5:$AD$110,11,FALSE)</f>
        <v>0</v>
      </c>
      <c r="P77" s="26">
        <f t="shared" si="41"/>
        <v>0</v>
      </c>
      <c r="Q77" s="34">
        <f t="shared" si="42"/>
        <v>0</v>
      </c>
      <c r="R77" s="51">
        <f t="shared" si="43"/>
        <v>0</v>
      </c>
      <c r="S77" s="39">
        <f>VLOOKUP(E77,'Participaciones  Tabla I'!$C$5:$AD$110,15,FALSE)</f>
        <v>0</v>
      </c>
      <c r="T77" s="39">
        <f>VLOOKUP(E77,'Participaciones  Tabla I'!$C$5:$AD$110,16,FALSE)</f>
        <v>300</v>
      </c>
      <c r="U77" s="26">
        <f t="shared" si="44"/>
        <v>300</v>
      </c>
      <c r="V77" s="24">
        <f t="shared" si="45"/>
        <v>1.220856302029014E-6</v>
      </c>
      <c r="W77" s="24">
        <f t="shared" si="46"/>
        <v>4.1509114268986477E-7</v>
      </c>
      <c r="X77" s="24">
        <f t="shared" si="47"/>
        <v>9.989873350029296E-5</v>
      </c>
      <c r="Y77" s="25">
        <f t="shared" si="48"/>
        <v>4.495443007513183E-6</v>
      </c>
      <c r="Z77" s="24">
        <f t="shared" si="49"/>
        <v>2.441712604058028E-8</v>
      </c>
      <c r="AA77" s="37">
        <f>VLOOKUP(D77,'Participaciones  Tabla I'!$B$5:$Y$110,24,FALSE)</f>
        <v>51.5400208621158</v>
      </c>
      <c r="AB77" s="23">
        <f t="shared" si="53"/>
        <v>6471.951593761355</v>
      </c>
      <c r="AC77" s="35">
        <f t="shared" si="54"/>
        <v>0.0042277441157869715</v>
      </c>
      <c r="AD77" s="22">
        <f t="shared" si="50"/>
        <v>1.056936028946743E-4</v>
      </c>
      <c r="AE77" s="22">
        <f t="shared" si="51"/>
        <v>0.0033750000000000004</v>
      </c>
      <c r="AF77" s="70">
        <f t="shared" si="52"/>
        <v>0.005531682943833464</v>
      </c>
      <c r="AG77" s="83"/>
      <c r="AH77" s="84"/>
      <c r="AI77" s="82"/>
      <c r="AJ77" s="68"/>
    </row>
    <row r="78" spans="1:36" s="6" customFormat="1" ht="13.5">
      <c r="A78" s="6" t="s">
        <v>26</v>
      </c>
      <c r="B78" s="6" t="s">
        <v>333</v>
      </c>
      <c r="C78" s="6" t="s">
        <v>391</v>
      </c>
      <c r="D78" s="32">
        <v>98</v>
      </c>
      <c r="E78" s="31" t="s">
        <v>333</v>
      </c>
      <c r="F78" s="23">
        <f>VLOOKUP(D78,'Participaciones  Tabla I'!B$5:D$110,3)</f>
        <v>15346</v>
      </c>
      <c r="G78" s="30">
        <f t="shared" si="36"/>
        <v>0.013319897127967705</v>
      </c>
      <c r="H78" s="30">
        <f t="shared" si="37"/>
        <v>0.008524734161899332</v>
      </c>
      <c r="I78" s="38">
        <f>VLOOKUP(E78,'Participaciones  Tabla I'!$C$5:$AD$110,5,FALSE)</f>
        <v>23670.50</v>
      </c>
      <c r="J78" s="38">
        <f>VLOOKUP(E78,'Participaciones  Tabla I'!$C$5:$AD$110,6,FALSE)</f>
        <v>26566.50</v>
      </c>
      <c r="K78" s="26">
        <f t="shared" si="38"/>
        <v>50237</v>
      </c>
      <c r="L78" s="53">
        <f t="shared" si="39"/>
        <v>3.1185088724650176E-4</v>
      </c>
      <c r="M78" s="29">
        <f t="shared" si="40"/>
        <v>1.0291079279134558E-4</v>
      </c>
      <c r="N78" s="39">
        <f>VLOOKUP(E78,'Participaciones  Tabla I'!$C$5:$AD$110,10,FALSE)</f>
        <v>34964.35</v>
      </c>
      <c r="O78" s="39">
        <f>VLOOKUP(E78,'Participaciones  Tabla I'!$C$5:$AD$110,11,FALSE)</f>
        <v>29497.70</v>
      </c>
      <c r="P78" s="26">
        <f t="shared" si="41"/>
        <v>64462.05</v>
      </c>
      <c r="Q78" s="34">
        <f t="shared" si="42"/>
        <v>3.182282374766395E-4</v>
      </c>
      <c r="R78" s="51">
        <f t="shared" si="43"/>
        <v>1.0501531836729105E-4</v>
      </c>
      <c r="S78" s="39">
        <f>VLOOKUP(E78,'Participaciones  Tabla I'!$C$5:$AD$110,15,FALSE)</f>
        <v>30321</v>
      </c>
      <c r="T78" s="39">
        <f>VLOOKUP(E78,'Participaciones  Tabla I'!$C$5:$AD$110,16,FALSE)</f>
        <v>16944.70</v>
      </c>
      <c r="U78" s="26">
        <f t="shared" si="44"/>
        <v>47265.70</v>
      </c>
      <c r="V78" s="24">
        <f t="shared" si="45"/>
        <v>1.9234875904937588E-4</v>
      </c>
      <c r="W78" s="24">
        <f t="shared" si="46"/>
        <v>6.53985780767878E-5</v>
      </c>
      <c r="X78" s="24">
        <f t="shared" si="47"/>
        <v>2.7332468923542446E-4</v>
      </c>
      <c r="Y78" s="25">
        <f t="shared" si="48"/>
        <v>1.22996110155941E-5</v>
      </c>
      <c r="Z78" s="24">
        <f t="shared" si="49"/>
        <v>3.8469751809875175E-6</v>
      </c>
      <c r="AA78" s="37">
        <f>VLOOKUP(D78,'Participaciones  Tabla I'!$B$5:$Y$110,24,FALSE)</f>
        <v>53.404542909139</v>
      </c>
      <c r="AB78" s="23">
        <f t="shared" si="53"/>
        <v>22793.39158558096</v>
      </c>
      <c r="AC78" s="35">
        <f t="shared" si="54"/>
        <v>0.014889577858965906</v>
      </c>
      <c r="AD78" s="22">
        <f t="shared" si="50"/>
        <v>3.722394464741477E-4</v>
      </c>
      <c r="AE78" s="22">
        <f t="shared" si="51"/>
        <v>0.0033750000000000004</v>
      </c>
      <c r="AF78" s="70">
        <f t="shared" si="52"/>
        <v>0.012288120194570061</v>
      </c>
      <c r="AG78" s="83"/>
      <c r="AH78" s="84"/>
      <c r="AI78" s="82"/>
      <c r="AJ78" s="68"/>
    </row>
    <row r="79" spans="1:36" s="6" customFormat="1" ht="13.5">
      <c r="A79" s="6" t="s">
        <v>25</v>
      </c>
      <c r="B79" s="6" t="s">
        <v>334</v>
      </c>
      <c r="C79" s="6" t="s">
        <v>390</v>
      </c>
      <c r="D79" s="32">
        <v>99</v>
      </c>
      <c r="E79" s="31" t="s">
        <v>334</v>
      </c>
      <c r="F79" s="23">
        <f>VLOOKUP(D79,'Participaciones  Tabla I'!B$5:D$110,3)</f>
        <v>4191</v>
      </c>
      <c r="G79" s="30">
        <f t="shared" si="36"/>
        <v>0.003637670328640209</v>
      </c>
      <c r="H79" s="30">
        <f t="shared" si="37"/>
        <v>0.002328109010329734</v>
      </c>
      <c r="I79" s="38">
        <f>VLOOKUP(E79,'Participaciones  Tabla I'!$C$5:$AD$110,5,FALSE)</f>
        <v>2951.06</v>
      </c>
      <c r="J79" s="38">
        <f>VLOOKUP(E79,'Participaciones  Tabla I'!$C$5:$AD$110,6,FALSE)</f>
        <v>0</v>
      </c>
      <c r="K79" s="26">
        <f t="shared" si="38"/>
        <v>2951.06</v>
      </c>
      <c r="L79" s="53">
        <f t="shared" si="39"/>
        <v>1.8318981613505215E-5</v>
      </c>
      <c r="M79" s="29">
        <f t="shared" si="40"/>
        <v>6.045263932456721E-6</v>
      </c>
      <c r="N79" s="39">
        <f>VLOOKUP(E79,'Participaciones  Tabla I'!$C$5:$AD$110,10,FALSE)</f>
        <v>25000</v>
      </c>
      <c r="O79" s="39">
        <f>VLOOKUP(E79,'Participaciones  Tabla I'!$C$5:$AD$110,11,FALSE)</f>
        <v>0</v>
      </c>
      <c r="P79" s="26">
        <f t="shared" si="41"/>
        <v>25000</v>
      </c>
      <c r="Q79" s="34">
        <f t="shared" si="42"/>
        <v>1.2341689314745633E-4</v>
      </c>
      <c r="R79" s="51">
        <f t="shared" si="43"/>
        <v>4.072757473866059E-5</v>
      </c>
      <c r="S79" s="39">
        <f>VLOOKUP(E79,'Participaciones  Tabla I'!$C$5:$AD$110,15,FALSE)</f>
        <v>980</v>
      </c>
      <c r="T79" s="39">
        <f>VLOOKUP(E79,'Participaciones  Tabla I'!$C$5:$AD$110,16,FALSE)</f>
        <v>0</v>
      </c>
      <c r="U79" s="26">
        <f t="shared" si="44"/>
        <v>980</v>
      </c>
      <c r="V79" s="24">
        <f t="shared" si="45"/>
        <v>3.988130586628112E-6</v>
      </c>
      <c r="W79" s="24">
        <f t="shared" si="46"/>
        <v>1.3559643994535581E-6</v>
      </c>
      <c r="X79" s="24">
        <f t="shared" si="47"/>
        <v>4.812880307057087E-5</v>
      </c>
      <c r="Y79" s="25">
        <f t="shared" si="48"/>
        <v>2.165796138175689E-6</v>
      </c>
      <c r="Z79" s="24">
        <f t="shared" si="49"/>
        <v>7.976261173256224E-8</v>
      </c>
      <c r="AA79" s="37">
        <f>VLOOKUP(D79,'Participaciones  Tabla I'!$B$5:$Y$110,24,FALSE)</f>
        <v>49.6852777840841</v>
      </c>
      <c r="AB79" s="23">
        <f t="shared" si="53"/>
        <v>8494.417517485152</v>
      </c>
      <c r="AC79" s="35">
        <f t="shared" si="54"/>
        <v>0.00554890177349337</v>
      </c>
      <c r="AD79" s="22">
        <f t="shared" si="50"/>
        <v>1.3872254433733427E-4</v>
      </c>
      <c r="AE79" s="22">
        <f t="shared" si="51"/>
        <v>0.0033750000000000004</v>
      </c>
      <c r="AF79" s="70">
        <f t="shared" si="52"/>
        <v>0.005844077113416977</v>
      </c>
      <c r="AG79" s="83"/>
      <c r="AH79" s="84"/>
      <c r="AI79" s="82"/>
      <c r="AJ79" s="68"/>
    </row>
    <row r="80" spans="1:36" s="6" customFormat="1" ht="13.5">
      <c r="A80" s="6" t="s">
        <v>24</v>
      </c>
      <c r="B80" s="6" t="s">
        <v>336</v>
      </c>
      <c r="C80" s="6" t="s">
        <v>389</v>
      </c>
      <c r="D80" s="32">
        <v>101</v>
      </c>
      <c r="E80" s="31" t="s">
        <v>336</v>
      </c>
      <c r="F80" s="23">
        <f>VLOOKUP(D80,'Participaciones  Tabla I'!B$5:D$110,3)</f>
        <v>69147</v>
      </c>
      <c r="G80" s="30">
        <f t="shared" si="36"/>
        <v>0.06001765454891065</v>
      </c>
      <c r="H80" s="30">
        <f t="shared" si="37"/>
        <v>0.038411298911302814</v>
      </c>
      <c r="I80" s="38">
        <f>VLOOKUP(E80,'Participaciones  Tabla I'!$C$5:$AD$110,5,FALSE)</f>
        <v>1.19242649E7</v>
      </c>
      <c r="J80" s="38">
        <f>VLOOKUP(E80,'Participaciones  Tabla I'!$C$5:$AD$110,6,FALSE)</f>
        <v>8305060.39</v>
      </c>
      <c r="K80" s="26">
        <f t="shared" si="38"/>
        <v>2.022932529E7</v>
      </c>
      <c r="L80" s="53">
        <f t="shared" si="39"/>
        <v>0.12557543324809595</v>
      </c>
      <c r="M80" s="52">
        <f t="shared" si="40"/>
        <v>0.041439892971871665</v>
      </c>
      <c r="N80" s="39">
        <f>VLOOKUP(E80,'Participaciones  Tabla I'!$C$5:$AD$110,10,FALSE)</f>
        <v>1.449868088E7</v>
      </c>
      <c r="O80" s="39">
        <f>VLOOKUP(E80,'Participaciones  Tabla I'!$C$5:$AD$110,11,FALSE)</f>
        <v>1.147832519E7</v>
      </c>
      <c r="P80" s="26">
        <f t="shared" si="41"/>
        <v>2.597700607E7</v>
      </c>
      <c r="Q80" s="34">
        <f t="shared" si="42"/>
        <v>0.12824005529728058</v>
      </c>
      <c r="R80" s="51">
        <f t="shared" si="43"/>
        <v>0.04231921824810259</v>
      </c>
      <c r="S80" s="39">
        <f>VLOOKUP(E80,'Participaciones  Tabla I'!$C$5:$AD$110,15,FALSE)</f>
        <v>1.459233197E7</v>
      </c>
      <c r="T80" s="39">
        <f>VLOOKUP(E80,'Participaciones  Tabla I'!$C$5:$AD$110,16,FALSE)</f>
        <v>1.34766151E7</v>
      </c>
      <c r="U80" s="26">
        <f t="shared" si="44"/>
        <v>2.806894707E7</v>
      </c>
      <c r="V80" s="24">
        <f t="shared" si="45"/>
        <v>0.11422716973909443</v>
      </c>
      <c r="W80" s="24">
        <f t="shared" si="46"/>
        <v>0.038837237711292105</v>
      </c>
      <c r="X80" s="24">
        <f t="shared" si="47"/>
        <v>0.12259634893126636</v>
      </c>
      <c r="Y80" s="25">
        <f t="shared" si="48"/>
        <v>0.005516835701906986</v>
      </c>
      <c r="Z80" s="24">
        <f t="shared" si="49"/>
        <v>0.0022845433947818886</v>
      </c>
      <c r="AA80" s="37">
        <f>VLOOKUP(D80,'Participaciones  Tabla I'!$B$5:$Y$110,24,FALSE)</f>
        <v>57.1401154036144</v>
      </c>
      <c r="AB80" s="23">
        <f t="shared" si="53"/>
        <v>65094.93029112149</v>
      </c>
      <c r="AC80" s="35">
        <f t="shared" si="54"/>
        <v>0.04252267720468365</v>
      </c>
      <c r="AD80" s="22">
        <f t="shared" si="50"/>
        <v>0.0010630669301170913</v>
      </c>
      <c r="AE80" s="22">
        <f t="shared" si="51"/>
        <v>0.0033750000000000004</v>
      </c>
      <c r="AF80" s="70">
        <f t="shared" si="52"/>
        <v>0.05065074493810878</v>
      </c>
      <c r="AG80" s="83"/>
      <c r="AH80" s="84"/>
      <c r="AI80" s="82"/>
      <c r="AJ80" s="68"/>
    </row>
    <row r="81" spans="1:36" s="6" customFormat="1" ht="13.5">
      <c r="A81" s="6" t="s">
        <v>23</v>
      </c>
      <c r="B81" s="6" t="s">
        <v>337</v>
      </c>
      <c r="C81" s="6" t="s">
        <v>388</v>
      </c>
      <c r="D81" s="32">
        <v>102</v>
      </c>
      <c r="E81" s="31" t="s">
        <v>337</v>
      </c>
      <c r="F81" s="23">
        <f>VLOOKUP(D81,'Participaciones  Tabla I'!B$5:D$110,3)</f>
        <v>85460</v>
      </c>
      <c r="G81" s="30">
        <f t="shared" si="36"/>
        <v>0.07417688052626874</v>
      </c>
      <c r="H81" s="30">
        <f t="shared" si="37"/>
        <v>0.047473203536811996</v>
      </c>
      <c r="I81" s="38">
        <f>VLOOKUP(E81,'Participaciones  Tabla I'!$C$5:$AD$110,5,FALSE)</f>
        <v>4961059.62</v>
      </c>
      <c r="J81" s="38">
        <f>VLOOKUP(E81,'Participaciones  Tabla I'!$C$5:$AD$110,6,FALSE)</f>
        <v>1.861354828E7</v>
      </c>
      <c r="K81" s="26">
        <f t="shared" si="38"/>
        <v>2.3574607900000002E7</v>
      </c>
      <c r="L81" s="53">
        <f t="shared" si="39"/>
        <v>0.14634158867176364</v>
      </c>
      <c r="M81" s="52">
        <f t="shared" si="40"/>
        <v>0.048292724261682005</v>
      </c>
      <c r="N81" s="39">
        <f>VLOOKUP(E81,'Participaciones  Tabla I'!$C$5:$AD$110,10,FALSE)</f>
        <v>7797448.32</v>
      </c>
      <c r="O81" s="39">
        <f>VLOOKUP(E81,'Participaciones  Tabla I'!$C$5:$AD$110,11,FALSE)</f>
        <v>2.097021415E7</v>
      </c>
      <c r="P81" s="26">
        <f t="shared" si="41"/>
        <v>2.876766247E7</v>
      </c>
      <c r="Q81" s="34">
        <f t="shared" si="42"/>
        <v>0.14201662100648318</v>
      </c>
      <c r="R81" s="51">
        <f t="shared" si="43"/>
        <v>0.046865484932139455</v>
      </c>
      <c r="S81" s="39">
        <f>VLOOKUP(E81,'Participaciones  Tabla I'!$C$5:$AD$110,15,FALSE)</f>
        <v>1.022683784E7</v>
      </c>
      <c r="T81" s="39">
        <f>VLOOKUP(E81,'Participaciones  Tabla I'!$C$5:$AD$110,16,FALSE)</f>
        <v>2.240822965E7</v>
      </c>
      <c r="U81" s="26">
        <f t="shared" si="44"/>
        <v>3.263506749E7</v>
      </c>
      <c r="V81" s="24">
        <f t="shared" si="45"/>
        <v>0.13280909270769564</v>
      </c>
      <c r="W81" s="24">
        <f t="shared" si="46"/>
        <v>0.045155091520616523</v>
      </c>
      <c r="X81" s="24">
        <f t="shared" si="47"/>
        <v>0.14031330071443798</v>
      </c>
      <c r="Y81" s="25">
        <f t="shared" si="48"/>
        <v>0.006314098532149709</v>
      </c>
      <c r="Z81" s="24">
        <f t="shared" si="49"/>
        <v>0.002656181854153913</v>
      </c>
      <c r="AA81" s="37">
        <f>VLOOKUP(D81,'Participaciones  Tabla I'!$B$5:$Y$110,24,FALSE)</f>
        <v>54.5170751115967</v>
      </c>
      <c r="AB81" s="23">
        <f t="shared" si="53"/>
        <v>113090.40279620489</v>
      </c>
      <c r="AC81" s="35">
        <f t="shared" si="54"/>
        <v>0.07387528754611135</v>
      </c>
      <c r="AD81" s="22">
        <f t="shared" si="50"/>
        <v>0.0018468821886527837</v>
      </c>
      <c r="AE81" s="22">
        <f t="shared" si="51"/>
        <v>0.0033750000000000004</v>
      </c>
      <c r="AF81" s="70">
        <f t="shared" si="52"/>
        <v>0.061665366111768406</v>
      </c>
      <c r="AG81" s="83"/>
      <c r="AH81" s="84"/>
      <c r="AI81" s="82"/>
      <c r="AJ81" s="68"/>
    </row>
    <row r="82" spans="1:36" s="6" customFormat="1" ht="13.5">
      <c r="A82" s="6" t="s">
        <v>22</v>
      </c>
      <c r="B82" s="6" t="s">
        <v>338</v>
      </c>
      <c r="C82" s="6" t="s">
        <v>387</v>
      </c>
      <c r="D82" s="32">
        <v>103</v>
      </c>
      <c r="E82" s="33" t="s">
        <v>338</v>
      </c>
      <c r="F82" s="23">
        <f>VLOOKUP(D82,'Participaciones  Tabla I'!B$5:D$110,3)</f>
        <v>3451</v>
      </c>
      <c r="G82" s="30">
        <f t="shared" si="36"/>
        <v>0.0029953711057354717</v>
      </c>
      <c r="H82" s="30">
        <f t="shared" si="37"/>
        <v>0.001917037507670702</v>
      </c>
      <c r="I82" s="38">
        <f>VLOOKUP(E82,'Participaciones  Tabla I'!$C$5:$AD$110,5,FALSE)</f>
        <v>31221.24</v>
      </c>
      <c r="J82" s="38">
        <f>VLOOKUP(E82,'Participaciones  Tabla I'!$C$5:$AD$110,6,FALSE)</f>
        <v>8145</v>
      </c>
      <c r="K82" s="26">
        <f t="shared" si="38"/>
        <v>39366.240000000005</v>
      </c>
      <c r="L82" s="53">
        <f t="shared" si="39"/>
        <v>2.443696254067466E-4</v>
      </c>
      <c r="M82" s="52">
        <f t="shared" si="40"/>
        <v>8.064197638422639E-5</v>
      </c>
      <c r="N82" s="39">
        <f>VLOOKUP(E82,'Participaciones  Tabla I'!$C$5:$AD$110,10,FALSE)</f>
        <v>726</v>
      </c>
      <c r="O82" s="39">
        <f>VLOOKUP(E82,'Participaciones  Tabla I'!$C$5:$AD$110,11,FALSE)</f>
        <v>0</v>
      </c>
      <c r="P82" s="26">
        <f t="shared" si="41"/>
        <v>726</v>
      </c>
      <c r="Q82" s="34">
        <f t="shared" si="42"/>
        <v>3.584026577002132E-6</v>
      </c>
      <c r="R82" s="51">
        <f t="shared" si="43"/>
        <v>1.1827287704107037E-6</v>
      </c>
      <c r="S82" s="39">
        <f>VLOOKUP(E82,'Participaciones  Tabla I'!$C$5:$AD$110,15,FALSE)</f>
        <v>288</v>
      </c>
      <c r="T82" s="39">
        <f>VLOOKUP(E82,'Participaciones  Tabla I'!$C$5:$AD$110,16,FALSE)</f>
        <v>0</v>
      </c>
      <c r="U82" s="26">
        <f t="shared" si="44"/>
        <v>288</v>
      </c>
      <c r="V82" s="24">
        <f t="shared" si="45"/>
        <v>1.1720220499478534E-6</v>
      </c>
      <c r="W82" s="24">
        <f t="shared" si="46"/>
        <v>3.9848749698227016E-7</v>
      </c>
      <c r="X82" s="24">
        <f t="shared" si="47"/>
        <v>8.222319265161936E-5</v>
      </c>
      <c r="Y82" s="25">
        <f t="shared" si="48"/>
        <v>3.7000436693228712E-6</v>
      </c>
      <c r="Z82" s="24">
        <f t="shared" si="49"/>
        <v>2.344044099895707E-8</v>
      </c>
      <c r="AA82" s="37">
        <f>VLOOKUP(D82,'Participaciones  Tabla I'!$B$5:$Y$110,24,FALSE)</f>
        <v>51.4620460751333</v>
      </c>
      <c r="AB82" s="23">
        <f t="shared" si="53"/>
        <v>6101.803141630496</v>
      </c>
      <c r="AC82" s="35">
        <f t="shared" si="54"/>
        <v>0.003985947971642078</v>
      </c>
      <c r="AD82" s="22">
        <f t="shared" si="50"/>
        <v>9.964869929105195E-5</v>
      </c>
      <c r="AE82" s="22">
        <f t="shared" si="51"/>
        <v>0.0033750000000000004</v>
      </c>
      <c r="AF82" s="70">
        <f t="shared" si="52"/>
        <v>0.005395409691072077</v>
      </c>
      <c r="AG82" s="83"/>
      <c r="AH82" s="84"/>
      <c r="AI82" s="82"/>
      <c r="AJ82" s="68"/>
    </row>
    <row r="83" spans="1:36" s="6" customFormat="1" ht="13.5">
      <c r="A83" s="6" t="s">
        <v>21</v>
      </c>
      <c r="B83" s="6" t="s">
        <v>339</v>
      </c>
      <c r="C83" s="6" t="s">
        <v>386</v>
      </c>
      <c r="D83" s="32">
        <v>104</v>
      </c>
      <c r="E83" s="31" t="s">
        <v>339</v>
      </c>
      <c r="F83" s="23">
        <f>VLOOKUP(D83,'Participaciones  Tabla I'!B$5:D$110,3)</f>
        <v>16350</v>
      </c>
      <c r="G83" s="30">
        <f t="shared" si="36"/>
        <v>0.014191340938503322</v>
      </c>
      <c r="H83" s="30">
        <f t="shared" si="37"/>
        <v>0.009082458200642126</v>
      </c>
      <c r="I83" s="38">
        <f>VLOOKUP(E83,'Participaciones  Tabla I'!$C$5:$AD$110,5,FALSE)</f>
        <v>72210</v>
      </c>
      <c r="J83" s="38">
        <f>VLOOKUP(E83,'Participaciones  Tabla I'!$C$5:$AD$110,6,FALSE)</f>
        <v>13745</v>
      </c>
      <c r="K83" s="26">
        <f t="shared" si="38"/>
        <v>85955</v>
      </c>
      <c r="L83" s="53">
        <f t="shared" si="39"/>
        <v>5.335737208287329E-4</v>
      </c>
      <c r="M83" s="52">
        <f t="shared" si="40"/>
        <v>1.7607932787348188E-4</v>
      </c>
      <c r="N83" s="39">
        <f>VLOOKUP(E83,'Participaciones  Tabla I'!$C$5:$AD$110,10,FALSE)</f>
        <v>82069</v>
      </c>
      <c r="O83" s="39">
        <f>VLOOKUP(E83,'Participaciones  Tabla I'!$C$5:$AD$110,11,FALSE)</f>
        <v>57659</v>
      </c>
      <c r="P83" s="26">
        <f t="shared" si="41"/>
        <v>139728</v>
      </c>
      <c r="Q83" s="34">
        <f t="shared" si="42"/>
        <v>6.897918258283112E-4</v>
      </c>
      <c r="R83" s="51">
        <f t="shared" si="43"/>
        <v>2.276313025233427E-4</v>
      </c>
      <c r="S83" s="39">
        <f>VLOOKUP(E83,'Participaciones  Tabla I'!$C$5:$AD$110,15,FALSE)</f>
        <v>31596</v>
      </c>
      <c r="T83" s="39">
        <f>VLOOKUP(E83,'Participaciones  Tabla I'!$C$5:$AD$110,16,FALSE)</f>
        <v>0</v>
      </c>
      <c r="U83" s="26">
        <f t="shared" si="44"/>
        <v>31596</v>
      </c>
      <c r="V83" s="24">
        <f t="shared" si="45"/>
        <v>1.2858058572969575E-4</v>
      </c>
      <c r="W83" s="24">
        <f t="shared" si="46"/>
        <v>4.3717399148096555E-5</v>
      </c>
      <c r="X83" s="24">
        <f t="shared" si="47"/>
        <v>4.4742802954492113E-4</v>
      </c>
      <c r="Y83" s="25">
        <f t="shared" si="48"/>
        <v>2.013426132952145E-5</v>
      </c>
      <c r="Z83" s="24">
        <f t="shared" si="49"/>
        <v>2.571611714593915E-6</v>
      </c>
      <c r="AA83" s="37">
        <f>VLOOKUP(D83,'Participaciones  Tabla I'!$B$5:$Y$110,24,FALSE)</f>
        <v>49.3282473222593</v>
      </c>
      <c r="AB83" s="23">
        <f t="shared" si="53"/>
        <v>33988.49755452237</v>
      </c>
      <c r="AC83" s="35">
        <f t="shared" si="54"/>
        <v>0.022202680050803603</v>
      </c>
      <c r="AD83" s="22">
        <f t="shared" si="50"/>
        <v>5.550670012700901E-4</v>
      </c>
      <c r="AE83" s="22">
        <f t="shared" si="51"/>
        <v>0.0033750000000000004</v>
      </c>
      <c r="AF83" s="70">
        <f t="shared" si="52"/>
        <v>0.01303523107495633</v>
      </c>
      <c r="AG83" s="83"/>
      <c r="AH83" s="84"/>
      <c r="AI83" s="82"/>
      <c r="AJ83" s="68"/>
    </row>
    <row r="84" spans="1:36" s="6" customFormat="1" ht="13.5">
      <c r="A84" s="6" t="s">
        <v>20</v>
      </c>
      <c r="B84" s="6" t="s">
        <v>341</v>
      </c>
      <c r="C84" s="6" t="s">
        <v>385</v>
      </c>
      <c r="D84" s="32">
        <v>106</v>
      </c>
      <c r="E84" s="31" t="s">
        <v>341</v>
      </c>
      <c r="F84" s="23">
        <f>VLOOKUP(D84,'Participaciones  Tabla I'!B$5:D$110,3)</f>
        <v>2215</v>
      </c>
      <c r="G84" s="30">
        <f t="shared" si="36"/>
        <v>0.0019225578090999913</v>
      </c>
      <c r="H84" s="30">
        <f t="shared" si="37"/>
        <v>0.0012304369978239946</v>
      </c>
      <c r="I84" s="38">
        <f>VLOOKUP(E84,'Participaciones  Tabla I'!$C$5:$AD$110,5,FALSE)</f>
        <v>14252.60</v>
      </c>
      <c r="J84" s="38">
        <f>VLOOKUP(E84,'Participaciones  Tabla I'!$C$5:$AD$110,6,FALSE)</f>
        <v>0</v>
      </c>
      <c r="K84" s="26">
        <f t="shared" si="38"/>
        <v>14252.60</v>
      </c>
      <c r="L84" s="53">
        <f t="shared" si="39"/>
        <v>8.847435068912338E-5</v>
      </c>
      <c r="M84" s="52">
        <f t="shared" si="40"/>
        <v>2.9196535727410716E-5</v>
      </c>
      <c r="N84" s="39">
        <f>VLOOKUP(E84,'Participaciones  Tabla I'!$C$5:$AD$110,10,FALSE)</f>
        <v>417204.47</v>
      </c>
      <c r="O84" s="39">
        <f>VLOOKUP(E84,'Participaciones  Tabla I'!$C$5:$AD$110,11,FALSE)</f>
        <v>5430</v>
      </c>
      <c r="P84" s="26">
        <f t="shared" si="41"/>
        <v>422634.47</v>
      </c>
      <c r="Q84" s="34">
        <f t="shared" si="42"/>
        <v>0.0020864093289768735</v>
      </c>
      <c r="R84" s="51">
        <f t="shared" si="43"/>
        <v>6.885150785623683E-4</v>
      </c>
      <c r="S84" s="39">
        <f>VLOOKUP(E84,'Participaciones  Tabla I'!$C$5:$AD$110,15,FALSE)</f>
        <v>302190.45</v>
      </c>
      <c r="T84" s="39">
        <f>VLOOKUP(E84,'Participaciones  Tabla I'!$C$5:$AD$110,16,FALSE)</f>
        <v>0</v>
      </c>
      <c r="U84" s="26">
        <f t="shared" si="44"/>
        <v>302190.45</v>
      </c>
      <c r="V84" s="24">
        <f t="shared" si="45"/>
        <v>0.0012297703843182788</v>
      </c>
      <c r="W84" s="24">
        <f t="shared" si="46"/>
        <v>4.1812193066821483E-4</v>
      </c>
      <c r="X84" s="24">
        <f t="shared" si="47"/>
        <v>0.0011358335449579938</v>
      </c>
      <c r="Y84" s="25">
        <f t="shared" si="48"/>
        <v>5.111250952310972E-5</v>
      </c>
      <c r="Z84" s="24">
        <f t="shared" si="49"/>
        <v>2.4595407686365577E-5</v>
      </c>
      <c r="AA84" s="37">
        <f>VLOOKUP(D84,'Participaciones  Tabla I'!$B$5:$Y$110,24,FALSE)</f>
        <v>54.3573427494902</v>
      </c>
      <c r="AB84" s="23">
        <f t="shared" si="53"/>
        <v>2982.654533918409</v>
      </c>
      <c r="AC84" s="35">
        <f>AB84/$AB$86</f>
        <v>0.0019483922233525686</v>
      </c>
      <c r="AD84" s="22">
        <f>AC84*0.025</f>
        <v>4.870980558381422E-5</v>
      </c>
      <c r="AE84" s="22">
        <f t="shared" si="51"/>
        <v>0.0033750000000000004</v>
      </c>
      <c r="AF84" s="70">
        <f t="shared" si="52"/>
        <v>0.004729854720617285</v>
      </c>
      <c r="AG84" s="83"/>
      <c r="AH84" s="84"/>
      <c r="AI84" s="82"/>
      <c r="AJ84" s="68"/>
    </row>
    <row r="85" spans="18:28" s="6" customFormat="1" ht="12.75">
      <c r="R85" s="19"/>
      <c r="S85" s="19"/>
      <c r="T85" s="19"/>
      <c r="U85" s="19"/>
      <c r="V85" s="19"/>
      <c r="W85" s="19"/>
      <c r="AA85" s="18"/>
      <c r="AB85" s="18"/>
    </row>
    <row r="86" spans="5:36" s="6" customFormat="1" ht="12.75">
      <c r="E86" s="17" t="s">
        <v>0</v>
      </c>
      <c r="F86" s="10">
        <f t="shared" si="55" ref="F86:AF86">SUM(F5:F84)</f>
        <v>1152111</v>
      </c>
      <c r="G86" s="9">
        <f t="shared" si="55"/>
        <v>0.9999999999999998</v>
      </c>
      <c r="H86" s="50">
        <f t="shared" si="55"/>
        <v>0.64</v>
      </c>
      <c r="I86" s="10">
        <f t="shared" si="55"/>
        <v>8.022795946E7</v>
      </c>
      <c r="J86" s="10">
        <f t="shared" si="55"/>
        <v>8.086505664000002E7</v>
      </c>
      <c r="K86" s="10">
        <f t="shared" si="55"/>
        <v>1.6109301610000002E8</v>
      </c>
      <c r="L86" s="9">
        <f t="shared" si="55"/>
        <v>0.9999999999999998</v>
      </c>
      <c r="M86" s="8">
        <f t="shared" si="55"/>
        <v>0.32999999999999996</v>
      </c>
      <c r="N86" s="10">
        <f t="shared" si="55"/>
        <v>1.0505407499999997E8</v>
      </c>
      <c r="O86" s="10">
        <f t="shared" si="55"/>
        <v>9.751138716999999E7</v>
      </c>
      <c r="P86" s="10">
        <f t="shared" si="55"/>
        <v>2.0256546217000002E8</v>
      </c>
      <c r="Q86" s="9">
        <f t="shared" si="55"/>
        <v>1</v>
      </c>
      <c r="R86" s="8">
        <f t="shared" si="55"/>
        <v>0.33</v>
      </c>
      <c r="S86" s="16">
        <f t="shared" si="55"/>
        <v>1.4272075167999998E8</v>
      </c>
      <c r="T86" s="16">
        <f t="shared" si="55"/>
        <v>1.0300841357999998E8</v>
      </c>
      <c r="U86" s="16">
        <f>SUM(U5:U84)</f>
        <v>2.4572916525999996E8</v>
      </c>
      <c r="V86" s="9">
        <f t="shared" si="55"/>
        <v>1.0000000000000002</v>
      </c>
      <c r="W86" s="8">
        <f t="shared" si="55"/>
        <v>0.3400000000000001</v>
      </c>
      <c r="X86" s="7">
        <f t="shared" si="55"/>
        <v>1.0000000000000002</v>
      </c>
      <c r="Y86" s="50">
        <f t="shared" si="55"/>
        <v>0.045</v>
      </c>
      <c r="Z86" s="49">
        <f t="shared" si="55"/>
        <v>0.020000000000000004</v>
      </c>
      <c r="AA86" s="10">
        <f t="shared" si="55"/>
        <v>4254.111717242891</v>
      </c>
      <c r="AB86" s="10">
        <f t="shared" si="55"/>
        <v>1530828.5971220934</v>
      </c>
      <c r="AC86" s="9">
        <f t="shared" si="55"/>
        <v>0.9999999999999998</v>
      </c>
      <c r="AD86" s="48">
        <f t="shared" si="55"/>
        <v>0.024999999999999994</v>
      </c>
      <c r="AE86" s="48">
        <f t="shared" si="55"/>
        <v>0.2699999999999998</v>
      </c>
      <c r="AF86" s="7">
        <f t="shared" si="55"/>
        <v>0.9999999999999998</v>
      </c>
      <c r="AG86" s="69"/>
      <c r="AH86" s="69"/>
      <c r="AI86" s="69"/>
      <c r="AJ86" s="69"/>
    </row>
    <row r="87" spans="6:13" ht="15">
      <c r="F87" s="64"/>
      <c r="G87" s="5" t="s">
        <v>224</v>
      </c>
      <c r="H87" s="5"/>
      <c r="I87" s="5"/>
      <c r="J87" s="5"/>
      <c r="K87" s="5"/>
      <c r="L87" s="5"/>
      <c r="M87" s="5"/>
    </row>
    <row r="88" spans="6:13" ht="15">
      <c r="F88" s="5"/>
      <c r="G88" s="5" t="s">
        <v>221</v>
      </c>
      <c r="H88" s="5"/>
      <c r="I88" s="5"/>
      <c r="J88" s="5"/>
      <c r="K88" s="5"/>
      <c r="L88" s="5"/>
      <c r="M88" s="5"/>
    </row>
    <row r="89" spans="6:11" ht="15">
      <c r="F89" s="5"/>
      <c r="G89" s="5" t="s">
        <v>222</v>
      </c>
      <c r="H89" s="5"/>
      <c r="I89" s="5"/>
      <c r="J89" s="5"/>
      <c r="K89" s="5"/>
    </row>
    <row r="90" spans="7:7" ht="15">
      <c r="G90" t="s">
        <v>235</v>
      </c>
    </row>
    <row r="91" spans="7:31" ht="15">
      <c r="G91" t="s">
        <v>236</v>
      </c>
      <c r="H91" s="4"/>
      <c r="Y91" s="3"/>
      <c r="Z91" s="3"/>
      <c r="AD91" s="3"/>
      <c r="AE91" s="2"/>
    </row>
    <row r="92" spans="7:7" ht="15">
      <c r="G92" t="s">
        <v>223</v>
      </c>
    </row>
  </sheetData>
  <mergeCells count="8">
    <mergeCell ref="F1:AF1"/>
    <mergeCell ref="F3:H3"/>
    <mergeCell ref="I3:M3"/>
    <mergeCell ref="N3:R3"/>
    <mergeCell ref="S3:W3"/>
    <mergeCell ref="X3:Y3"/>
    <mergeCell ref="AA3:AD3"/>
    <mergeCell ref="AF3:AF4"/>
  </mergeCells>
  <pageMargins left="0.1968503937007874" right="0.1968503937007874" top="0.2755905511811024" bottom="0.31496062992125984" header="0.2362204724409449" footer="0.1968503937007874"/>
  <pageSetup orientation="landscape" paperSize="5" scale="46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7"/>
  <sheetViews>
    <sheetView workbookViewId="0" topLeftCell="B1">
      <selection pane="topLeft" activeCell="B1" sqref="B1:K1"/>
    </sheetView>
  </sheetViews>
  <sheetFormatPr defaultColWidth="11.424285714285714" defaultRowHeight="15"/>
  <cols>
    <col min="1" max="1" width="16.714285714285715" hidden="1" customWidth="1"/>
    <col min="2" max="2" width="7.142857142857143" bestFit="1" customWidth="1"/>
    <col min="3" max="3" width="21" bestFit="1" customWidth="1"/>
    <col min="4" max="4" width="14.142857142857142" customWidth="1"/>
    <col min="5" max="6" width="14.428571428571429" customWidth="1"/>
    <col min="9" max="9" width="12.857142857142858" bestFit="1" customWidth="1"/>
    <col min="10" max="10" width="12.857142857142858" customWidth="1"/>
    <col min="11" max="11" width="14.285714285714286" style="75" customWidth="1"/>
    <col min="12" max="12" width="17.428571428571427" style="75" customWidth="1"/>
    <col min="13" max="13" width="23.571428571428573" style="75" customWidth="1"/>
    <col min="15" max="15" width="18.571428571428573" customWidth="1"/>
    <col min="257" max="257" width="7.142857142857143" bestFit="1" customWidth="1"/>
    <col min="258" max="258" width="21" bestFit="1" customWidth="1"/>
    <col min="259" max="259" width="14.142857142857142" customWidth="1"/>
    <col min="260" max="261" width="14.428571428571429" customWidth="1"/>
    <col min="264" max="264" width="11.857142857142858" bestFit="1" customWidth="1"/>
    <col min="265" max="265" width="12.857142857142858" bestFit="1" customWidth="1"/>
    <col min="266" max="267" width="12.857142857142858" customWidth="1"/>
    <col min="513" max="513" width="7.142857142857143" bestFit="1" customWidth="1"/>
    <col min="514" max="514" width="21" bestFit="1" customWidth="1"/>
    <col min="515" max="515" width="14.142857142857142" customWidth="1"/>
    <col min="516" max="517" width="14.428571428571429" customWidth="1"/>
    <col min="520" max="520" width="11.857142857142858" bestFit="1" customWidth="1"/>
    <col min="521" max="521" width="12.857142857142858" bestFit="1" customWidth="1"/>
    <col min="522" max="523" width="12.857142857142858" customWidth="1"/>
    <col min="769" max="769" width="7.142857142857143" bestFit="1" customWidth="1"/>
    <col min="770" max="770" width="21" bestFit="1" customWidth="1"/>
    <col min="771" max="771" width="14.142857142857142" customWidth="1"/>
    <col min="772" max="773" width="14.428571428571429" customWidth="1"/>
    <col min="776" max="776" width="11.857142857142858" bestFit="1" customWidth="1"/>
    <col min="777" max="777" width="12.857142857142858" bestFit="1" customWidth="1"/>
    <col min="778" max="779" width="12.857142857142858" customWidth="1"/>
    <col min="1025" max="1025" width="7.142857142857143" bestFit="1" customWidth="1"/>
    <col min="1026" max="1026" width="21" bestFit="1" customWidth="1"/>
    <col min="1027" max="1027" width="14.142857142857142" customWidth="1"/>
    <col min="1028" max="1029" width="14.428571428571429" customWidth="1"/>
    <col min="1032" max="1032" width="11.857142857142858" bestFit="1" customWidth="1"/>
    <col min="1033" max="1033" width="12.857142857142858" bestFit="1" customWidth="1"/>
    <col min="1034" max="1035" width="12.857142857142858" customWidth="1"/>
    <col min="1281" max="1281" width="7.142857142857143" bestFit="1" customWidth="1"/>
    <col min="1282" max="1282" width="21" bestFit="1" customWidth="1"/>
    <col min="1283" max="1283" width="14.142857142857142" customWidth="1"/>
    <col min="1284" max="1285" width="14.428571428571429" customWidth="1"/>
    <col min="1288" max="1288" width="11.857142857142858" bestFit="1" customWidth="1"/>
    <col min="1289" max="1289" width="12.857142857142858" bestFit="1" customWidth="1"/>
    <col min="1290" max="1291" width="12.857142857142858" customWidth="1"/>
    <col min="1537" max="1537" width="7.142857142857143" bestFit="1" customWidth="1"/>
    <col min="1538" max="1538" width="21" bestFit="1" customWidth="1"/>
    <col min="1539" max="1539" width="14.142857142857142" customWidth="1"/>
    <col min="1540" max="1541" width="14.428571428571429" customWidth="1"/>
    <col min="1544" max="1544" width="11.857142857142858" bestFit="1" customWidth="1"/>
    <col min="1545" max="1545" width="12.857142857142858" bestFit="1" customWidth="1"/>
    <col min="1546" max="1547" width="12.857142857142858" customWidth="1"/>
    <col min="1793" max="1793" width="7.142857142857143" bestFit="1" customWidth="1"/>
    <col min="1794" max="1794" width="21" bestFit="1" customWidth="1"/>
    <col min="1795" max="1795" width="14.142857142857142" customWidth="1"/>
    <col min="1796" max="1797" width="14.428571428571429" customWidth="1"/>
    <col min="1800" max="1800" width="11.857142857142858" bestFit="1" customWidth="1"/>
    <col min="1801" max="1801" width="12.857142857142858" bestFit="1" customWidth="1"/>
    <col min="1802" max="1803" width="12.857142857142858" customWidth="1"/>
    <col min="2049" max="2049" width="7.142857142857143" bestFit="1" customWidth="1"/>
    <col min="2050" max="2050" width="21" bestFit="1" customWidth="1"/>
    <col min="2051" max="2051" width="14.142857142857142" customWidth="1"/>
    <col min="2052" max="2053" width="14.428571428571429" customWidth="1"/>
    <col min="2056" max="2056" width="11.857142857142858" bestFit="1" customWidth="1"/>
    <col min="2057" max="2057" width="12.857142857142858" bestFit="1" customWidth="1"/>
    <col min="2058" max="2059" width="12.857142857142858" customWidth="1"/>
    <col min="2305" max="2305" width="7.142857142857143" bestFit="1" customWidth="1"/>
    <col min="2306" max="2306" width="21" bestFit="1" customWidth="1"/>
    <col min="2307" max="2307" width="14.142857142857142" customWidth="1"/>
    <col min="2308" max="2309" width="14.428571428571429" customWidth="1"/>
    <col min="2312" max="2312" width="11.857142857142858" bestFit="1" customWidth="1"/>
    <col min="2313" max="2313" width="12.857142857142858" bestFit="1" customWidth="1"/>
    <col min="2314" max="2315" width="12.857142857142858" customWidth="1"/>
    <col min="2561" max="2561" width="7.142857142857143" bestFit="1" customWidth="1"/>
    <col min="2562" max="2562" width="21" bestFit="1" customWidth="1"/>
    <col min="2563" max="2563" width="14.142857142857142" customWidth="1"/>
    <col min="2564" max="2565" width="14.428571428571429" customWidth="1"/>
    <col min="2568" max="2568" width="11.857142857142858" bestFit="1" customWidth="1"/>
    <col min="2569" max="2569" width="12.857142857142858" bestFit="1" customWidth="1"/>
    <col min="2570" max="2571" width="12.857142857142858" customWidth="1"/>
    <col min="2817" max="2817" width="7.142857142857143" bestFit="1" customWidth="1"/>
    <col min="2818" max="2818" width="21" bestFit="1" customWidth="1"/>
    <col min="2819" max="2819" width="14.142857142857142" customWidth="1"/>
    <col min="2820" max="2821" width="14.428571428571429" customWidth="1"/>
    <col min="2824" max="2824" width="11.857142857142858" bestFit="1" customWidth="1"/>
    <col min="2825" max="2825" width="12.857142857142858" bestFit="1" customWidth="1"/>
    <col min="2826" max="2827" width="12.857142857142858" customWidth="1"/>
    <col min="3073" max="3073" width="7.142857142857143" bestFit="1" customWidth="1"/>
    <col min="3074" max="3074" width="21" bestFit="1" customWidth="1"/>
    <col min="3075" max="3075" width="14.142857142857142" customWidth="1"/>
    <col min="3076" max="3077" width="14.428571428571429" customWidth="1"/>
    <col min="3080" max="3080" width="11.857142857142858" bestFit="1" customWidth="1"/>
    <col min="3081" max="3081" width="12.857142857142858" bestFit="1" customWidth="1"/>
    <col min="3082" max="3083" width="12.857142857142858" customWidth="1"/>
    <col min="3329" max="3329" width="7.142857142857143" bestFit="1" customWidth="1"/>
    <col min="3330" max="3330" width="21" bestFit="1" customWidth="1"/>
    <col min="3331" max="3331" width="14.142857142857142" customWidth="1"/>
    <col min="3332" max="3333" width="14.428571428571429" customWidth="1"/>
    <col min="3336" max="3336" width="11.857142857142858" bestFit="1" customWidth="1"/>
    <col min="3337" max="3337" width="12.857142857142858" bestFit="1" customWidth="1"/>
    <col min="3338" max="3339" width="12.857142857142858" customWidth="1"/>
    <col min="3585" max="3585" width="7.142857142857143" bestFit="1" customWidth="1"/>
    <col min="3586" max="3586" width="21" bestFit="1" customWidth="1"/>
    <col min="3587" max="3587" width="14.142857142857142" customWidth="1"/>
    <col min="3588" max="3589" width="14.428571428571429" customWidth="1"/>
    <col min="3592" max="3592" width="11.857142857142858" bestFit="1" customWidth="1"/>
    <col min="3593" max="3593" width="12.857142857142858" bestFit="1" customWidth="1"/>
    <col min="3594" max="3595" width="12.857142857142858" customWidth="1"/>
    <col min="3841" max="3841" width="7.142857142857143" bestFit="1" customWidth="1"/>
    <col min="3842" max="3842" width="21" bestFit="1" customWidth="1"/>
    <col min="3843" max="3843" width="14.142857142857142" customWidth="1"/>
    <col min="3844" max="3845" width="14.428571428571429" customWidth="1"/>
    <col min="3848" max="3848" width="11.857142857142858" bestFit="1" customWidth="1"/>
    <col min="3849" max="3849" width="12.857142857142858" bestFit="1" customWidth="1"/>
    <col min="3850" max="3851" width="12.857142857142858" customWidth="1"/>
    <col min="4097" max="4097" width="7.142857142857143" bestFit="1" customWidth="1"/>
    <col min="4098" max="4098" width="21" bestFit="1" customWidth="1"/>
    <col min="4099" max="4099" width="14.142857142857142" customWidth="1"/>
    <col min="4100" max="4101" width="14.428571428571429" customWidth="1"/>
    <col min="4104" max="4104" width="11.857142857142858" bestFit="1" customWidth="1"/>
    <col min="4105" max="4105" width="12.857142857142858" bestFit="1" customWidth="1"/>
    <col min="4106" max="4107" width="12.857142857142858" customWidth="1"/>
    <col min="4353" max="4353" width="7.142857142857143" bestFit="1" customWidth="1"/>
    <col min="4354" max="4354" width="21" bestFit="1" customWidth="1"/>
    <col min="4355" max="4355" width="14.142857142857142" customWidth="1"/>
    <col min="4356" max="4357" width="14.428571428571429" customWidth="1"/>
    <col min="4360" max="4360" width="11.857142857142858" bestFit="1" customWidth="1"/>
    <col min="4361" max="4361" width="12.857142857142858" bestFit="1" customWidth="1"/>
    <col min="4362" max="4363" width="12.857142857142858" customWidth="1"/>
    <col min="4609" max="4609" width="7.142857142857143" bestFit="1" customWidth="1"/>
    <col min="4610" max="4610" width="21" bestFit="1" customWidth="1"/>
    <col min="4611" max="4611" width="14.142857142857142" customWidth="1"/>
    <col min="4612" max="4613" width="14.428571428571429" customWidth="1"/>
    <col min="4616" max="4616" width="11.857142857142858" bestFit="1" customWidth="1"/>
    <col min="4617" max="4617" width="12.857142857142858" bestFit="1" customWidth="1"/>
    <col min="4618" max="4619" width="12.857142857142858" customWidth="1"/>
    <col min="4865" max="4865" width="7.142857142857143" bestFit="1" customWidth="1"/>
    <col min="4866" max="4866" width="21" bestFit="1" customWidth="1"/>
    <col min="4867" max="4867" width="14.142857142857142" customWidth="1"/>
    <col min="4868" max="4869" width="14.428571428571429" customWidth="1"/>
    <col min="4872" max="4872" width="11.857142857142858" bestFit="1" customWidth="1"/>
    <col min="4873" max="4873" width="12.857142857142858" bestFit="1" customWidth="1"/>
    <col min="4874" max="4875" width="12.857142857142858" customWidth="1"/>
    <col min="5121" max="5121" width="7.142857142857143" bestFit="1" customWidth="1"/>
    <col min="5122" max="5122" width="21" bestFit="1" customWidth="1"/>
    <col min="5123" max="5123" width="14.142857142857142" customWidth="1"/>
    <col min="5124" max="5125" width="14.428571428571429" customWidth="1"/>
    <col min="5128" max="5128" width="11.857142857142858" bestFit="1" customWidth="1"/>
    <col min="5129" max="5129" width="12.857142857142858" bestFit="1" customWidth="1"/>
    <col min="5130" max="5131" width="12.857142857142858" customWidth="1"/>
    <col min="5377" max="5377" width="7.142857142857143" bestFit="1" customWidth="1"/>
    <col min="5378" max="5378" width="21" bestFit="1" customWidth="1"/>
    <col min="5379" max="5379" width="14.142857142857142" customWidth="1"/>
    <col min="5380" max="5381" width="14.428571428571429" customWidth="1"/>
    <col min="5384" max="5384" width="11.857142857142858" bestFit="1" customWidth="1"/>
    <col min="5385" max="5385" width="12.857142857142858" bestFit="1" customWidth="1"/>
    <col min="5386" max="5387" width="12.857142857142858" customWidth="1"/>
    <col min="5633" max="5633" width="7.142857142857143" bestFit="1" customWidth="1"/>
    <col min="5634" max="5634" width="21" bestFit="1" customWidth="1"/>
    <col min="5635" max="5635" width="14.142857142857142" customWidth="1"/>
    <col min="5636" max="5637" width="14.428571428571429" customWidth="1"/>
    <col min="5640" max="5640" width="11.857142857142858" bestFit="1" customWidth="1"/>
    <col min="5641" max="5641" width="12.857142857142858" bestFit="1" customWidth="1"/>
    <col min="5642" max="5643" width="12.857142857142858" customWidth="1"/>
    <col min="5889" max="5889" width="7.142857142857143" bestFit="1" customWidth="1"/>
    <col min="5890" max="5890" width="21" bestFit="1" customWidth="1"/>
    <col min="5891" max="5891" width="14.142857142857142" customWidth="1"/>
    <col min="5892" max="5893" width="14.428571428571429" customWidth="1"/>
    <col min="5896" max="5896" width="11.857142857142858" bestFit="1" customWidth="1"/>
    <col min="5897" max="5897" width="12.857142857142858" bestFit="1" customWidth="1"/>
    <col min="5898" max="5899" width="12.857142857142858" customWidth="1"/>
    <col min="6145" max="6145" width="7.142857142857143" bestFit="1" customWidth="1"/>
    <col min="6146" max="6146" width="21" bestFit="1" customWidth="1"/>
    <col min="6147" max="6147" width="14.142857142857142" customWidth="1"/>
    <col min="6148" max="6149" width="14.428571428571429" customWidth="1"/>
    <col min="6152" max="6152" width="11.857142857142858" bestFit="1" customWidth="1"/>
    <col min="6153" max="6153" width="12.857142857142858" bestFit="1" customWidth="1"/>
    <col min="6154" max="6155" width="12.857142857142858" customWidth="1"/>
    <col min="6401" max="6401" width="7.142857142857143" bestFit="1" customWidth="1"/>
    <col min="6402" max="6402" width="21" bestFit="1" customWidth="1"/>
    <col min="6403" max="6403" width="14.142857142857142" customWidth="1"/>
    <col min="6404" max="6405" width="14.428571428571429" customWidth="1"/>
    <col min="6408" max="6408" width="11.857142857142858" bestFit="1" customWidth="1"/>
    <col min="6409" max="6409" width="12.857142857142858" bestFit="1" customWidth="1"/>
    <col min="6410" max="6411" width="12.857142857142858" customWidth="1"/>
    <col min="6657" max="6657" width="7.142857142857143" bestFit="1" customWidth="1"/>
    <col min="6658" max="6658" width="21" bestFit="1" customWidth="1"/>
    <col min="6659" max="6659" width="14.142857142857142" customWidth="1"/>
    <col min="6660" max="6661" width="14.428571428571429" customWidth="1"/>
    <col min="6664" max="6664" width="11.857142857142858" bestFit="1" customWidth="1"/>
    <col min="6665" max="6665" width="12.857142857142858" bestFit="1" customWidth="1"/>
    <col min="6666" max="6667" width="12.857142857142858" customWidth="1"/>
    <col min="6913" max="6913" width="7.142857142857143" bestFit="1" customWidth="1"/>
    <col min="6914" max="6914" width="21" bestFit="1" customWidth="1"/>
    <col min="6915" max="6915" width="14.142857142857142" customWidth="1"/>
    <col min="6916" max="6917" width="14.428571428571429" customWidth="1"/>
    <col min="6920" max="6920" width="11.857142857142858" bestFit="1" customWidth="1"/>
    <col min="6921" max="6921" width="12.857142857142858" bestFit="1" customWidth="1"/>
    <col min="6922" max="6923" width="12.857142857142858" customWidth="1"/>
    <col min="7169" max="7169" width="7.142857142857143" bestFit="1" customWidth="1"/>
    <col min="7170" max="7170" width="21" bestFit="1" customWidth="1"/>
    <col min="7171" max="7171" width="14.142857142857142" customWidth="1"/>
    <col min="7172" max="7173" width="14.428571428571429" customWidth="1"/>
    <col min="7176" max="7176" width="11.857142857142858" bestFit="1" customWidth="1"/>
    <col min="7177" max="7177" width="12.857142857142858" bestFit="1" customWidth="1"/>
    <col min="7178" max="7179" width="12.857142857142858" customWidth="1"/>
    <col min="7425" max="7425" width="7.142857142857143" bestFit="1" customWidth="1"/>
    <col min="7426" max="7426" width="21" bestFit="1" customWidth="1"/>
    <col min="7427" max="7427" width="14.142857142857142" customWidth="1"/>
    <col min="7428" max="7429" width="14.428571428571429" customWidth="1"/>
    <col min="7432" max="7432" width="11.857142857142858" bestFit="1" customWidth="1"/>
    <col min="7433" max="7433" width="12.857142857142858" bestFit="1" customWidth="1"/>
    <col min="7434" max="7435" width="12.857142857142858" customWidth="1"/>
    <col min="7681" max="7681" width="7.142857142857143" bestFit="1" customWidth="1"/>
    <col min="7682" max="7682" width="21" bestFit="1" customWidth="1"/>
    <col min="7683" max="7683" width="14.142857142857142" customWidth="1"/>
    <col min="7684" max="7685" width="14.428571428571429" customWidth="1"/>
    <col min="7688" max="7688" width="11.857142857142858" bestFit="1" customWidth="1"/>
    <col min="7689" max="7689" width="12.857142857142858" bestFit="1" customWidth="1"/>
    <col min="7690" max="7691" width="12.857142857142858" customWidth="1"/>
    <col min="7937" max="7937" width="7.142857142857143" bestFit="1" customWidth="1"/>
    <col min="7938" max="7938" width="21" bestFit="1" customWidth="1"/>
    <col min="7939" max="7939" width="14.142857142857142" customWidth="1"/>
    <col min="7940" max="7941" width="14.428571428571429" customWidth="1"/>
    <col min="7944" max="7944" width="11.857142857142858" bestFit="1" customWidth="1"/>
    <col min="7945" max="7945" width="12.857142857142858" bestFit="1" customWidth="1"/>
    <col min="7946" max="7947" width="12.857142857142858" customWidth="1"/>
    <col min="8193" max="8193" width="7.142857142857143" bestFit="1" customWidth="1"/>
    <col min="8194" max="8194" width="21" bestFit="1" customWidth="1"/>
    <col min="8195" max="8195" width="14.142857142857142" customWidth="1"/>
    <col min="8196" max="8197" width="14.428571428571429" customWidth="1"/>
    <col min="8200" max="8200" width="11.857142857142858" bestFit="1" customWidth="1"/>
    <col min="8201" max="8201" width="12.857142857142858" bestFit="1" customWidth="1"/>
    <col min="8202" max="8203" width="12.857142857142858" customWidth="1"/>
    <col min="8449" max="8449" width="7.142857142857143" bestFit="1" customWidth="1"/>
    <col min="8450" max="8450" width="21" bestFit="1" customWidth="1"/>
    <col min="8451" max="8451" width="14.142857142857142" customWidth="1"/>
    <col min="8452" max="8453" width="14.428571428571429" customWidth="1"/>
    <col min="8456" max="8456" width="11.857142857142858" bestFit="1" customWidth="1"/>
    <col min="8457" max="8457" width="12.857142857142858" bestFit="1" customWidth="1"/>
    <col min="8458" max="8459" width="12.857142857142858" customWidth="1"/>
    <col min="8705" max="8705" width="7.142857142857143" bestFit="1" customWidth="1"/>
    <col min="8706" max="8706" width="21" bestFit="1" customWidth="1"/>
    <col min="8707" max="8707" width="14.142857142857142" customWidth="1"/>
    <col min="8708" max="8709" width="14.428571428571429" customWidth="1"/>
    <col min="8712" max="8712" width="11.857142857142858" bestFit="1" customWidth="1"/>
    <col min="8713" max="8713" width="12.857142857142858" bestFit="1" customWidth="1"/>
    <col min="8714" max="8715" width="12.857142857142858" customWidth="1"/>
    <col min="8961" max="8961" width="7.142857142857143" bestFit="1" customWidth="1"/>
    <col min="8962" max="8962" width="21" bestFit="1" customWidth="1"/>
    <col min="8963" max="8963" width="14.142857142857142" customWidth="1"/>
    <col min="8964" max="8965" width="14.428571428571429" customWidth="1"/>
    <col min="8968" max="8968" width="11.857142857142858" bestFit="1" customWidth="1"/>
    <col min="8969" max="8969" width="12.857142857142858" bestFit="1" customWidth="1"/>
    <col min="8970" max="8971" width="12.857142857142858" customWidth="1"/>
    <col min="9217" max="9217" width="7.142857142857143" bestFit="1" customWidth="1"/>
    <col min="9218" max="9218" width="21" bestFit="1" customWidth="1"/>
    <col min="9219" max="9219" width="14.142857142857142" customWidth="1"/>
    <col min="9220" max="9221" width="14.428571428571429" customWidth="1"/>
    <col min="9224" max="9224" width="11.857142857142858" bestFit="1" customWidth="1"/>
    <col min="9225" max="9225" width="12.857142857142858" bestFit="1" customWidth="1"/>
    <col min="9226" max="9227" width="12.857142857142858" customWidth="1"/>
    <col min="9473" max="9473" width="7.142857142857143" bestFit="1" customWidth="1"/>
    <col min="9474" max="9474" width="21" bestFit="1" customWidth="1"/>
    <col min="9475" max="9475" width="14.142857142857142" customWidth="1"/>
    <col min="9476" max="9477" width="14.428571428571429" customWidth="1"/>
    <col min="9480" max="9480" width="11.857142857142858" bestFit="1" customWidth="1"/>
    <col min="9481" max="9481" width="12.857142857142858" bestFit="1" customWidth="1"/>
    <col min="9482" max="9483" width="12.857142857142858" customWidth="1"/>
    <col min="9729" max="9729" width="7.142857142857143" bestFit="1" customWidth="1"/>
    <col min="9730" max="9730" width="21" bestFit="1" customWidth="1"/>
    <col min="9731" max="9731" width="14.142857142857142" customWidth="1"/>
    <col min="9732" max="9733" width="14.428571428571429" customWidth="1"/>
    <col min="9736" max="9736" width="11.857142857142858" bestFit="1" customWidth="1"/>
    <col min="9737" max="9737" width="12.857142857142858" bestFit="1" customWidth="1"/>
    <col min="9738" max="9739" width="12.857142857142858" customWidth="1"/>
    <col min="9985" max="9985" width="7.142857142857143" bestFit="1" customWidth="1"/>
    <col min="9986" max="9986" width="21" bestFit="1" customWidth="1"/>
    <col min="9987" max="9987" width="14.142857142857142" customWidth="1"/>
    <col min="9988" max="9989" width="14.428571428571429" customWidth="1"/>
    <col min="9992" max="9992" width="11.857142857142858" bestFit="1" customWidth="1"/>
    <col min="9993" max="9993" width="12.857142857142858" bestFit="1" customWidth="1"/>
    <col min="9994" max="9995" width="12.857142857142858" customWidth="1"/>
    <col min="10241" max="10241" width="7.142857142857143" bestFit="1" customWidth="1"/>
    <col min="10242" max="10242" width="21" bestFit="1" customWidth="1"/>
    <col min="10243" max="10243" width="14.142857142857142" customWidth="1"/>
    <col min="10244" max="10245" width="14.428571428571429" customWidth="1"/>
    <col min="10248" max="10248" width="11.857142857142858" bestFit="1" customWidth="1"/>
    <col min="10249" max="10249" width="12.857142857142858" bestFit="1" customWidth="1"/>
    <col min="10250" max="10251" width="12.857142857142858" customWidth="1"/>
    <col min="10497" max="10497" width="7.142857142857143" bestFit="1" customWidth="1"/>
    <col min="10498" max="10498" width="21" bestFit="1" customWidth="1"/>
    <col min="10499" max="10499" width="14.142857142857142" customWidth="1"/>
    <col min="10500" max="10501" width="14.428571428571429" customWidth="1"/>
    <col min="10504" max="10504" width="11.857142857142858" bestFit="1" customWidth="1"/>
    <col min="10505" max="10505" width="12.857142857142858" bestFit="1" customWidth="1"/>
    <col min="10506" max="10507" width="12.857142857142858" customWidth="1"/>
    <col min="10753" max="10753" width="7.142857142857143" bestFit="1" customWidth="1"/>
    <col min="10754" max="10754" width="21" bestFit="1" customWidth="1"/>
    <col min="10755" max="10755" width="14.142857142857142" customWidth="1"/>
    <col min="10756" max="10757" width="14.428571428571429" customWidth="1"/>
    <col min="10760" max="10760" width="11.857142857142858" bestFit="1" customWidth="1"/>
    <col min="10761" max="10761" width="12.857142857142858" bestFit="1" customWidth="1"/>
    <col min="10762" max="10763" width="12.857142857142858" customWidth="1"/>
    <col min="11009" max="11009" width="7.142857142857143" bestFit="1" customWidth="1"/>
    <col min="11010" max="11010" width="21" bestFit="1" customWidth="1"/>
    <col min="11011" max="11011" width="14.142857142857142" customWidth="1"/>
    <col min="11012" max="11013" width="14.428571428571429" customWidth="1"/>
    <col min="11016" max="11016" width="11.857142857142858" bestFit="1" customWidth="1"/>
    <col min="11017" max="11017" width="12.857142857142858" bestFit="1" customWidth="1"/>
    <col min="11018" max="11019" width="12.857142857142858" customWidth="1"/>
    <col min="11265" max="11265" width="7.142857142857143" bestFit="1" customWidth="1"/>
    <col min="11266" max="11266" width="21" bestFit="1" customWidth="1"/>
    <col min="11267" max="11267" width="14.142857142857142" customWidth="1"/>
    <col min="11268" max="11269" width="14.428571428571429" customWidth="1"/>
    <col min="11272" max="11272" width="11.857142857142858" bestFit="1" customWidth="1"/>
    <col min="11273" max="11273" width="12.857142857142858" bestFit="1" customWidth="1"/>
    <col min="11274" max="11275" width="12.857142857142858" customWidth="1"/>
    <col min="11521" max="11521" width="7.142857142857143" bestFit="1" customWidth="1"/>
    <col min="11522" max="11522" width="21" bestFit="1" customWidth="1"/>
    <col min="11523" max="11523" width="14.142857142857142" customWidth="1"/>
    <col min="11524" max="11525" width="14.428571428571429" customWidth="1"/>
    <col min="11528" max="11528" width="11.857142857142858" bestFit="1" customWidth="1"/>
    <col min="11529" max="11529" width="12.857142857142858" bestFit="1" customWidth="1"/>
    <col min="11530" max="11531" width="12.857142857142858" customWidth="1"/>
    <col min="11777" max="11777" width="7.142857142857143" bestFit="1" customWidth="1"/>
    <col min="11778" max="11778" width="21" bestFit="1" customWidth="1"/>
    <col min="11779" max="11779" width="14.142857142857142" customWidth="1"/>
    <col min="11780" max="11781" width="14.428571428571429" customWidth="1"/>
    <col min="11784" max="11784" width="11.857142857142858" bestFit="1" customWidth="1"/>
    <col min="11785" max="11785" width="12.857142857142858" bestFit="1" customWidth="1"/>
    <col min="11786" max="11787" width="12.857142857142858" customWidth="1"/>
    <col min="12033" max="12033" width="7.142857142857143" bestFit="1" customWidth="1"/>
    <col min="12034" max="12034" width="21" bestFit="1" customWidth="1"/>
    <col min="12035" max="12035" width="14.142857142857142" customWidth="1"/>
    <col min="12036" max="12037" width="14.428571428571429" customWidth="1"/>
    <col min="12040" max="12040" width="11.857142857142858" bestFit="1" customWidth="1"/>
    <col min="12041" max="12041" width="12.857142857142858" bestFit="1" customWidth="1"/>
    <col min="12042" max="12043" width="12.857142857142858" customWidth="1"/>
    <col min="12289" max="12289" width="7.142857142857143" bestFit="1" customWidth="1"/>
    <col min="12290" max="12290" width="21" bestFit="1" customWidth="1"/>
    <col min="12291" max="12291" width="14.142857142857142" customWidth="1"/>
    <col min="12292" max="12293" width="14.428571428571429" customWidth="1"/>
    <col min="12296" max="12296" width="11.857142857142858" bestFit="1" customWidth="1"/>
    <col min="12297" max="12297" width="12.857142857142858" bestFit="1" customWidth="1"/>
    <col min="12298" max="12299" width="12.857142857142858" customWidth="1"/>
    <col min="12545" max="12545" width="7.142857142857143" bestFit="1" customWidth="1"/>
    <col min="12546" max="12546" width="21" bestFit="1" customWidth="1"/>
    <col min="12547" max="12547" width="14.142857142857142" customWidth="1"/>
    <col min="12548" max="12549" width="14.428571428571429" customWidth="1"/>
    <col min="12552" max="12552" width="11.857142857142858" bestFit="1" customWidth="1"/>
    <col min="12553" max="12553" width="12.857142857142858" bestFit="1" customWidth="1"/>
    <col min="12554" max="12555" width="12.857142857142858" customWidth="1"/>
    <col min="12801" max="12801" width="7.142857142857143" bestFit="1" customWidth="1"/>
    <col min="12802" max="12802" width="21" bestFit="1" customWidth="1"/>
    <col min="12803" max="12803" width="14.142857142857142" customWidth="1"/>
    <col min="12804" max="12805" width="14.428571428571429" customWidth="1"/>
    <col min="12808" max="12808" width="11.857142857142858" bestFit="1" customWidth="1"/>
    <col min="12809" max="12809" width="12.857142857142858" bestFit="1" customWidth="1"/>
    <col min="12810" max="12811" width="12.857142857142858" customWidth="1"/>
    <col min="13057" max="13057" width="7.142857142857143" bestFit="1" customWidth="1"/>
    <col min="13058" max="13058" width="21" bestFit="1" customWidth="1"/>
    <col min="13059" max="13059" width="14.142857142857142" customWidth="1"/>
    <col min="13060" max="13061" width="14.428571428571429" customWidth="1"/>
    <col min="13064" max="13064" width="11.857142857142858" bestFit="1" customWidth="1"/>
    <col min="13065" max="13065" width="12.857142857142858" bestFit="1" customWidth="1"/>
    <col min="13066" max="13067" width="12.857142857142858" customWidth="1"/>
    <col min="13313" max="13313" width="7.142857142857143" bestFit="1" customWidth="1"/>
    <col min="13314" max="13314" width="21" bestFit="1" customWidth="1"/>
    <col min="13315" max="13315" width="14.142857142857142" customWidth="1"/>
    <col min="13316" max="13317" width="14.428571428571429" customWidth="1"/>
    <col min="13320" max="13320" width="11.857142857142858" bestFit="1" customWidth="1"/>
    <col min="13321" max="13321" width="12.857142857142858" bestFit="1" customWidth="1"/>
    <col min="13322" max="13323" width="12.857142857142858" customWidth="1"/>
    <col min="13569" max="13569" width="7.142857142857143" bestFit="1" customWidth="1"/>
    <col min="13570" max="13570" width="21" bestFit="1" customWidth="1"/>
    <col min="13571" max="13571" width="14.142857142857142" customWidth="1"/>
    <col min="13572" max="13573" width="14.428571428571429" customWidth="1"/>
    <col min="13576" max="13576" width="11.857142857142858" bestFit="1" customWidth="1"/>
    <col min="13577" max="13577" width="12.857142857142858" bestFit="1" customWidth="1"/>
    <col min="13578" max="13579" width="12.857142857142858" customWidth="1"/>
    <col min="13825" max="13825" width="7.142857142857143" bestFit="1" customWidth="1"/>
    <col min="13826" max="13826" width="21" bestFit="1" customWidth="1"/>
    <col min="13827" max="13827" width="14.142857142857142" customWidth="1"/>
    <col min="13828" max="13829" width="14.428571428571429" customWidth="1"/>
    <col min="13832" max="13832" width="11.857142857142858" bestFit="1" customWidth="1"/>
    <col min="13833" max="13833" width="12.857142857142858" bestFit="1" customWidth="1"/>
    <col min="13834" max="13835" width="12.857142857142858" customWidth="1"/>
    <col min="14081" max="14081" width="7.142857142857143" bestFit="1" customWidth="1"/>
    <col min="14082" max="14082" width="21" bestFit="1" customWidth="1"/>
    <col min="14083" max="14083" width="14.142857142857142" customWidth="1"/>
    <col min="14084" max="14085" width="14.428571428571429" customWidth="1"/>
    <col min="14088" max="14088" width="11.857142857142858" bestFit="1" customWidth="1"/>
    <col min="14089" max="14089" width="12.857142857142858" bestFit="1" customWidth="1"/>
    <col min="14090" max="14091" width="12.857142857142858" customWidth="1"/>
    <col min="14337" max="14337" width="7.142857142857143" bestFit="1" customWidth="1"/>
    <col min="14338" max="14338" width="21" bestFit="1" customWidth="1"/>
    <col min="14339" max="14339" width="14.142857142857142" customWidth="1"/>
    <col min="14340" max="14341" width="14.428571428571429" customWidth="1"/>
    <col min="14344" max="14344" width="11.857142857142858" bestFit="1" customWidth="1"/>
    <col min="14345" max="14345" width="12.857142857142858" bestFit="1" customWidth="1"/>
    <col min="14346" max="14347" width="12.857142857142858" customWidth="1"/>
    <col min="14593" max="14593" width="7.142857142857143" bestFit="1" customWidth="1"/>
    <col min="14594" max="14594" width="21" bestFit="1" customWidth="1"/>
    <col min="14595" max="14595" width="14.142857142857142" customWidth="1"/>
    <col min="14596" max="14597" width="14.428571428571429" customWidth="1"/>
    <col min="14600" max="14600" width="11.857142857142858" bestFit="1" customWidth="1"/>
    <col min="14601" max="14601" width="12.857142857142858" bestFit="1" customWidth="1"/>
    <col min="14602" max="14603" width="12.857142857142858" customWidth="1"/>
    <col min="14849" max="14849" width="7.142857142857143" bestFit="1" customWidth="1"/>
    <col min="14850" max="14850" width="21" bestFit="1" customWidth="1"/>
    <col min="14851" max="14851" width="14.142857142857142" customWidth="1"/>
    <col min="14852" max="14853" width="14.428571428571429" customWidth="1"/>
    <col min="14856" max="14856" width="11.857142857142858" bestFit="1" customWidth="1"/>
    <col min="14857" max="14857" width="12.857142857142858" bestFit="1" customWidth="1"/>
    <col min="14858" max="14859" width="12.857142857142858" customWidth="1"/>
    <col min="15105" max="15105" width="7.142857142857143" bestFit="1" customWidth="1"/>
    <col min="15106" max="15106" width="21" bestFit="1" customWidth="1"/>
    <col min="15107" max="15107" width="14.142857142857142" customWidth="1"/>
    <col min="15108" max="15109" width="14.428571428571429" customWidth="1"/>
    <col min="15112" max="15112" width="11.857142857142858" bestFit="1" customWidth="1"/>
    <col min="15113" max="15113" width="12.857142857142858" bestFit="1" customWidth="1"/>
    <col min="15114" max="15115" width="12.857142857142858" customWidth="1"/>
    <col min="15361" max="15361" width="7.142857142857143" bestFit="1" customWidth="1"/>
    <col min="15362" max="15362" width="21" bestFit="1" customWidth="1"/>
    <col min="15363" max="15363" width="14.142857142857142" customWidth="1"/>
    <col min="15364" max="15365" width="14.428571428571429" customWidth="1"/>
    <col min="15368" max="15368" width="11.857142857142858" bestFit="1" customWidth="1"/>
    <col min="15369" max="15369" width="12.857142857142858" bestFit="1" customWidth="1"/>
    <col min="15370" max="15371" width="12.857142857142858" customWidth="1"/>
    <col min="15617" max="15617" width="7.142857142857143" bestFit="1" customWidth="1"/>
    <col min="15618" max="15618" width="21" bestFit="1" customWidth="1"/>
    <col min="15619" max="15619" width="14.142857142857142" customWidth="1"/>
    <col min="15620" max="15621" width="14.428571428571429" customWidth="1"/>
    <col min="15624" max="15624" width="11.857142857142858" bestFit="1" customWidth="1"/>
    <col min="15625" max="15625" width="12.857142857142858" bestFit="1" customWidth="1"/>
    <col min="15626" max="15627" width="12.857142857142858" customWidth="1"/>
    <col min="15873" max="15873" width="7.142857142857143" bestFit="1" customWidth="1"/>
    <col min="15874" max="15874" width="21" bestFit="1" customWidth="1"/>
    <col min="15875" max="15875" width="14.142857142857142" customWidth="1"/>
    <col min="15876" max="15877" width="14.428571428571429" customWidth="1"/>
    <col min="15880" max="15880" width="11.857142857142858" bestFit="1" customWidth="1"/>
    <col min="15881" max="15881" width="12.857142857142858" bestFit="1" customWidth="1"/>
    <col min="15882" max="15883" width="12.857142857142858" customWidth="1"/>
    <col min="16129" max="16129" width="7.142857142857143" bestFit="1" customWidth="1"/>
    <col min="16130" max="16130" width="21" bestFit="1" customWidth="1"/>
    <col min="16131" max="16131" width="14.142857142857142" customWidth="1"/>
    <col min="16132" max="16133" width="14.428571428571429" customWidth="1"/>
    <col min="16136" max="16136" width="11.857142857142858" bestFit="1" customWidth="1"/>
    <col min="16137" max="16137" width="12.857142857142858" bestFit="1" customWidth="1"/>
    <col min="16138" max="16139" width="12.857142857142858" customWidth="1"/>
  </cols>
  <sheetData>
    <row r="1" spans="2:11" ht="15">
      <c r="B1" s="102" t="s">
        <v>232</v>
      </c>
      <c r="C1" s="102"/>
      <c r="D1" s="102"/>
      <c r="E1" s="102"/>
      <c r="F1" s="102"/>
      <c r="G1" s="102"/>
      <c r="H1" s="102"/>
      <c r="I1" s="102"/>
      <c r="J1" s="102"/>
      <c r="K1" s="102"/>
    </row>
    <row r="3" spans="4:11" ht="16.5">
      <c r="D3" s="103" t="s">
        <v>212</v>
      </c>
      <c r="E3" s="103"/>
      <c r="F3" s="103"/>
      <c r="G3" s="103" t="s">
        <v>211</v>
      </c>
      <c r="H3" s="103"/>
      <c r="I3" s="103"/>
      <c r="J3" s="103"/>
      <c r="K3" s="76"/>
    </row>
    <row r="4" spans="2:11" ht="49.9" customHeight="1">
      <c r="B4" s="32" t="s">
        <v>14</v>
      </c>
      <c r="C4" s="63" t="s">
        <v>210</v>
      </c>
      <c r="D4" s="43" t="s">
        <v>12</v>
      </c>
      <c r="E4" s="43" t="s">
        <v>11</v>
      </c>
      <c r="F4" s="44" t="s">
        <v>209</v>
      </c>
      <c r="G4" s="43" t="s">
        <v>5</v>
      </c>
      <c r="H4" s="43" t="s">
        <v>214</v>
      </c>
      <c r="I4" s="43" t="s">
        <v>4</v>
      </c>
      <c r="J4" s="44" t="s">
        <v>208</v>
      </c>
      <c r="K4" s="77" t="s">
        <v>207</v>
      </c>
    </row>
    <row r="5" spans="1:15" ht="15">
      <c r="A5" s="18" t="s">
        <v>342</v>
      </c>
      <c r="B5" s="32">
        <v>1</v>
      </c>
      <c r="C5" s="61" t="s">
        <v>206</v>
      </c>
      <c r="D5" s="20">
        <f>'Participaciones  Tabla I'!D5</f>
        <v>6550</v>
      </c>
      <c r="E5" s="30">
        <f t="shared" si="0" ref="E5:E36">D5/$D$112</f>
        <v>0.0028221834824279225</v>
      </c>
      <c r="F5" s="30">
        <f t="shared" si="1" ref="F5:F36">E5*0.7</f>
        <v>0.0019755284376995457</v>
      </c>
      <c r="G5" s="23">
        <f>'Participaciones  Tabla I'!Y5</f>
        <v>52.0644029722264</v>
      </c>
      <c r="H5" s="20">
        <f>D5*(9.261-0.1456*G5)</f>
        <v>11006.770173447123</v>
      </c>
      <c r="I5" s="22">
        <f>H5/$H$112</f>
        <v>0.004766500592661435</v>
      </c>
      <c r="J5" s="22">
        <f t="shared" si="2" ref="J5:J36">I5*0.3</f>
        <v>0.0014299501777984304</v>
      </c>
      <c r="K5" s="85">
        <f t="shared" si="3" ref="K5:K36">+F5+J5</f>
        <v>0.0034054786154979763</v>
      </c>
      <c r="O5" s="78"/>
    </row>
    <row r="6" spans="1:15" ht="15">
      <c r="A6" s="18" t="s">
        <v>238</v>
      </c>
      <c r="B6" s="32">
        <v>2</v>
      </c>
      <c r="C6" s="61" t="s">
        <v>205</v>
      </c>
      <c r="D6" s="20">
        <f>'Participaciones  Tabla I'!D6</f>
        <v>16772</v>
      </c>
      <c r="E6" s="30">
        <f t="shared" si="0"/>
        <v>0.007226513185844444</v>
      </c>
      <c r="F6" s="30">
        <f t="shared" si="1"/>
        <v>0.005058559230091111</v>
      </c>
      <c r="G6" s="23">
        <f>'Participaciones  Tabla I'!Y6</f>
        <v>55.083317191263</v>
      </c>
      <c r="H6" s="20">
        <f t="shared" si="4" ref="H6:H69">D6*(9.261-0.1456*G6)</f>
        <v>20811.855152320713</v>
      </c>
      <c r="I6" s="22">
        <f t="shared" si="5" ref="I6:I69">H6/$H$112</f>
        <v>0.009012609362665836</v>
      </c>
      <c r="J6" s="22">
        <f t="shared" si="2"/>
        <v>0.0027037828087997508</v>
      </c>
      <c r="K6" s="85">
        <f t="shared" si="3"/>
        <v>0.007762342038890861</v>
      </c>
      <c r="O6" s="78"/>
    </row>
    <row r="7" spans="1:15" ht="15">
      <c r="A7" s="18" t="s">
        <v>239</v>
      </c>
      <c r="B7" s="32">
        <v>3</v>
      </c>
      <c r="C7" s="61" t="s">
        <v>204</v>
      </c>
      <c r="D7" s="20">
        <f>'Participaciones  Tabla I'!D7</f>
        <v>12285</v>
      </c>
      <c r="E7" s="30">
        <f t="shared" si="0"/>
        <v>0.005293209783454508</v>
      </c>
      <c r="F7" s="30">
        <f t="shared" si="1"/>
        <v>0.0037052468484181553</v>
      </c>
      <c r="G7" s="23">
        <f>'Participaciones  Tabla I'!Y7</f>
        <v>53.8228606441541</v>
      </c>
      <c r="H7" s="20">
        <f t="shared" si="4"/>
        <v>17498.64945724413</v>
      </c>
      <c r="I7" s="22">
        <f t="shared" si="5"/>
        <v>0.007577819986642563</v>
      </c>
      <c r="J7" s="22">
        <f t="shared" si="2"/>
        <v>0.0022733459959927687</v>
      </c>
      <c r="K7" s="85">
        <f t="shared" si="3"/>
        <v>0.0059785928444109245</v>
      </c>
      <c r="O7" s="78"/>
    </row>
    <row r="8" spans="1:15" ht="15">
      <c r="A8" s="18" t="s">
        <v>240</v>
      </c>
      <c r="B8" s="32">
        <v>4</v>
      </c>
      <c r="C8" s="62" t="s">
        <v>203</v>
      </c>
      <c r="D8" s="20">
        <f>'Participaciones  Tabla I'!D8</f>
        <v>6195</v>
      </c>
      <c r="E8" s="30">
        <f t="shared" si="0"/>
        <v>0.0026692254463574015</v>
      </c>
      <c r="F8" s="30">
        <f t="shared" si="1"/>
        <v>0.001868457812450181</v>
      </c>
      <c r="G8" s="23">
        <f>'Participaciones  Tabla I'!Y8</f>
        <v>55.0269348194927</v>
      </c>
      <c r="H8" s="20">
        <f t="shared" si="4"/>
        <v>7738.040008296132</v>
      </c>
      <c r="I8" s="22">
        <f t="shared" si="5"/>
        <v>0.0033509714207133477</v>
      </c>
      <c r="J8" s="22">
        <f t="shared" si="2"/>
        <v>0.0010052914262140044</v>
      </c>
      <c r="K8" s="85">
        <f t="shared" si="3"/>
        <v>0.0028737492386641853</v>
      </c>
      <c r="O8" s="78"/>
    </row>
    <row r="9" spans="1:15" ht="15">
      <c r="A9" s="18" t="s">
        <v>343</v>
      </c>
      <c r="B9" s="32">
        <v>5</v>
      </c>
      <c r="C9" s="62" t="s">
        <v>202</v>
      </c>
      <c r="D9" s="20">
        <f>'Participaciones  Tabla I'!D9</f>
        <v>2167</v>
      </c>
      <c r="E9" s="30">
        <f t="shared" si="0"/>
        <v>9.336903215910393E-4</v>
      </c>
      <c r="F9" s="30">
        <f t="shared" si="1"/>
        <v>6.535832251137275E-4</v>
      </c>
      <c r="G9" s="23">
        <f>'Participaciones  Tabla I'!Y9</f>
        <v>54.383083000654</v>
      </c>
      <c r="H9" s="20">
        <f t="shared" si="4"/>
        <v>2909.8976904320507</v>
      </c>
      <c r="I9" s="22">
        <f t="shared" si="5"/>
        <v>0.0012601361568799492</v>
      </c>
      <c r="J9" s="22">
        <f t="shared" si="2"/>
        <v>3.780408470639847E-4</v>
      </c>
      <c r="K9" s="85">
        <f t="shared" si="3"/>
        <v>0.0010316240721777122</v>
      </c>
      <c r="O9" s="78"/>
    </row>
    <row r="10" spans="1:15" ht="15">
      <c r="A10" s="18" t="s">
        <v>242</v>
      </c>
      <c r="B10" s="32">
        <v>6</v>
      </c>
      <c r="C10" s="61" t="s">
        <v>201</v>
      </c>
      <c r="D10" s="20">
        <f>'Participaciones  Tabla I'!D10</f>
        <v>9159</v>
      </c>
      <c r="E10" s="30">
        <f t="shared" si="0"/>
        <v>0.003946317330619441</v>
      </c>
      <c r="F10" s="30">
        <f t="shared" si="1"/>
        <v>0.0027624221314336084</v>
      </c>
      <c r="G10" s="23">
        <f>'Participaciones  Tabla I'!Y10</f>
        <v>54.1461302464</v>
      </c>
      <c r="H10" s="20">
        <f t="shared" si="4"/>
        <v>12614.90535146117</v>
      </c>
      <c r="I10" s="22">
        <f t="shared" si="5"/>
        <v>0.005462906273737181</v>
      </c>
      <c r="J10" s="22">
        <f t="shared" si="2"/>
        <v>0.0016388718821211544</v>
      </c>
      <c r="K10" s="85">
        <f t="shared" si="3"/>
        <v>0.004401294013554763</v>
      </c>
      <c r="O10" s="78"/>
    </row>
    <row r="11" spans="1:15" ht="15">
      <c r="A11" s="18" t="s">
        <v>344</v>
      </c>
      <c r="B11" s="32">
        <v>7</v>
      </c>
      <c r="C11" s="62" t="s">
        <v>200</v>
      </c>
      <c r="D11" s="20">
        <f>'Participaciones  Tabla I'!D11</f>
        <v>7490</v>
      </c>
      <c r="E11" s="30">
        <f t="shared" si="0"/>
        <v>0.0032271991272343724</v>
      </c>
      <c r="F11" s="30">
        <f t="shared" si="1"/>
        <v>0.0022590393890640605</v>
      </c>
      <c r="G11" s="23">
        <f>'Participaciones  Tabla I'!Y11</f>
        <v>56.2566657520727</v>
      </c>
      <c r="H11" s="20">
        <f t="shared" si="4"/>
        <v>8014.520704071624</v>
      </c>
      <c r="I11" s="22">
        <f t="shared" si="5"/>
        <v>0.0034707018574814848</v>
      </c>
      <c r="J11" s="22">
        <f t="shared" si="2"/>
        <v>0.0010412105572444453</v>
      </c>
      <c r="K11" s="85">
        <f t="shared" si="3"/>
        <v>0.003300249946308506</v>
      </c>
      <c r="O11" s="78"/>
    </row>
    <row r="12" spans="1:15" ht="15">
      <c r="A12" s="18" t="s">
        <v>244</v>
      </c>
      <c r="B12" s="32">
        <v>8</v>
      </c>
      <c r="C12" s="61" t="s">
        <v>199</v>
      </c>
      <c r="D12" s="20">
        <f>'Participaciones  Tabla I'!D12</f>
        <v>3949</v>
      </c>
      <c r="E12" s="30">
        <f t="shared" si="0"/>
        <v>0.0017014965758943305</v>
      </c>
      <c r="F12" s="30">
        <f t="shared" si="1"/>
        <v>0.0011910476031260313</v>
      </c>
      <c r="G12" s="23">
        <f>'Participaciones  Tabla I'!Y12</f>
        <v>52.1191022224473</v>
      </c>
      <c r="H12" s="20">
        <f t="shared" si="4"/>
        <v>6604.539471109689</v>
      </c>
      <c r="I12" s="22">
        <f t="shared" si="5"/>
        <v>0.0028601070802081654</v>
      </c>
      <c r="J12" s="22">
        <f t="shared" si="2"/>
        <v>8.580321240624496E-4</v>
      </c>
      <c r="K12" s="85">
        <f t="shared" si="3"/>
        <v>0.002049079727188481</v>
      </c>
      <c r="O12" s="78"/>
    </row>
    <row r="13" spans="1:15" ht="15">
      <c r="A13" s="18" t="s">
        <v>245</v>
      </c>
      <c r="B13" s="32">
        <v>9</v>
      </c>
      <c r="C13" s="62" t="s">
        <v>198</v>
      </c>
      <c r="D13" s="20">
        <f>'Participaciones  Tabla I'!D13</f>
        <v>4466</v>
      </c>
      <c r="E13" s="30">
        <f t="shared" si="0"/>
        <v>0.001924255180537878</v>
      </c>
      <c r="F13" s="30">
        <f t="shared" si="1"/>
        <v>0.0013469786263765144</v>
      </c>
      <c r="G13" s="23">
        <f>'Participaciones  Tabla I'!Y13</f>
        <v>53.7285104726297</v>
      </c>
      <c r="H13" s="20">
        <f t="shared" si="4"/>
        <v>6422.6835565767215</v>
      </c>
      <c r="I13" s="22">
        <f t="shared" si="5"/>
        <v>0.002781354066313908</v>
      </c>
      <c r="J13" s="22">
        <f t="shared" si="2"/>
        <v>8.344062198941724E-4</v>
      </c>
      <c r="K13" s="85">
        <f t="shared" si="3"/>
        <v>0.002181384846270687</v>
      </c>
      <c r="O13" s="78"/>
    </row>
    <row r="14" spans="1:15" ht="15">
      <c r="A14" s="18" t="s">
        <v>246</v>
      </c>
      <c r="B14" s="32">
        <v>10</v>
      </c>
      <c r="C14" s="61" t="s">
        <v>197</v>
      </c>
      <c r="D14" s="20">
        <f>'Participaciones  Tabla I'!D14</f>
        <v>2755</v>
      </c>
      <c r="E14" s="30">
        <f t="shared" si="0"/>
        <v>0.001187040533448691</v>
      </c>
      <c r="F14" s="30">
        <f t="shared" si="1"/>
        <v>8.309283734140836E-4</v>
      </c>
      <c r="G14" s="23">
        <f>'Participaciones  Tabla I'!Y14</f>
        <v>49.0618522491806</v>
      </c>
      <c r="H14" s="20">
        <f t="shared" si="4"/>
        <v>5833.97233099068</v>
      </c>
      <c r="I14" s="22">
        <f t="shared" si="5"/>
        <v>0.0025264116661871425</v>
      </c>
      <c r="J14" s="22">
        <f t="shared" si="2"/>
        <v>7.579234998561427E-4</v>
      </c>
      <c r="K14" s="85">
        <f t="shared" si="3"/>
        <v>0.0015888518732702262</v>
      </c>
      <c r="O14" s="78"/>
    </row>
    <row r="15" spans="1:15" ht="15">
      <c r="A15" s="18" t="s">
        <v>345</v>
      </c>
      <c r="B15" s="32">
        <v>11</v>
      </c>
      <c r="C15" s="61" t="s">
        <v>196</v>
      </c>
      <c r="D15" s="20">
        <f>'Participaciones  Tabla I'!D15</f>
        <v>8389</v>
      </c>
      <c r="E15" s="30">
        <f t="shared" si="0"/>
        <v>0.003614549196043945</v>
      </c>
      <c r="F15" s="30">
        <f t="shared" si="1"/>
        <v>0.002530184437230761</v>
      </c>
      <c r="G15" s="23">
        <f>'Participaciones  Tabla I'!Y15</f>
        <v>55.2011694096428</v>
      </c>
      <c r="H15" s="20">
        <f t="shared" si="4"/>
        <v>10265.70095815694</v>
      </c>
      <c r="I15" s="22">
        <f t="shared" si="5"/>
        <v>0.0044455793052882156</v>
      </c>
      <c r="J15" s="22">
        <f t="shared" si="2"/>
        <v>0.0013336737915864646</v>
      </c>
      <c r="K15" s="85">
        <f t="shared" si="3"/>
        <v>0.003863858228817226</v>
      </c>
      <c r="O15" s="78"/>
    </row>
    <row r="16" spans="1:15" ht="15">
      <c r="A16" s="18" t="s">
        <v>248</v>
      </c>
      <c r="B16" s="32">
        <v>12</v>
      </c>
      <c r="C16" s="61" t="s">
        <v>195</v>
      </c>
      <c r="D16" s="20">
        <f>'Participaciones  Tabla I'!D16</f>
        <v>3736</v>
      </c>
      <c r="E16" s="30">
        <f t="shared" si="0"/>
        <v>0.001609721754252018</v>
      </c>
      <c r="F16" s="30">
        <f t="shared" si="1"/>
        <v>0.0011268052279764125</v>
      </c>
      <c r="G16" s="23">
        <f>'Participaciones  Tabla I'!Y16</f>
        <v>53.7340024023425</v>
      </c>
      <c r="H16" s="20">
        <f t="shared" si="4"/>
        <v>5369.862078817926</v>
      </c>
      <c r="I16" s="22">
        <f t="shared" si="5"/>
        <v>0.002325427930070041</v>
      </c>
      <c r="J16" s="22">
        <f t="shared" si="2"/>
        <v>6.976283790210123E-4</v>
      </c>
      <c r="K16" s="85">
        <f t="shared" si="3"/>
        <v>0.0018244336069974249</v>
      </c>
      <c r="O16" s="78"/>
    </row>
    <row r="17" spans="1:15" ht="15">
      <c r="A17" s="18" t="s">
        <v>249</v>
      </c>
      <c r="B17" s="32">
        <v>13</v>
      </c>
      <c r="C17" s="62" t="s">
        <v>194</v>
      </c>
      <c r="D17" s="20">
        <f>'Participaciones  Tabla I'!D17</f>
        <v>16671</v>
      </c>
      <c r="E17" s="30">
        <f t="shared" si="0"/>
        <v>0.007182995547413113</v>
      </c>
      <c r="F17" s="30">
        <f t="shared" si="1"/>
        <v>0.005028096883189179</v>
      </c>
      <c r="G17" s="23">
        <f>'Participaciones  Tabla I'!Y17</f>
        <v>58.8830841950992</v>
      </c>
      <c r="H17" s="20">
        <f t="shared" si="4"/>
        <v>11463.362052637745</v>
      </c>
      <c r="I17" s="22">
        <f t="shared" si="5"/>
        <v>0.004964228484538086</v>
      </c>
      <c r="J17" s="22">
        <f t="shared" si="2"/>
        <v>0.0014892685453614257</v>
      </c>
      <c r="K17" s="85">
        <f t="shared" si="3"/>
        <v>0.0065173654285506045</v>
      </c>
      <c r="O17" s="78"/>
    </row>
    <row r="18" spans="1:15" ht="15">
      <c r="A18" s="18" t="s">
        <v>250</v>
      </c>
      <c r="B18" s="32">
        <v>14</v>
      </c>
      <c r="C18" s="61" t="s">
        <v>193</v>
      </c>
      <c r="D18" s="20">
        <f>'Participaciones  Tabla I'!D18</f>
        <v>1714</v>
      </c>
      <c r="E18" s="30">
        <f t="shared" si="0"/>
        <v>7.385072502109097E-4</v>
      </c>
      <c r="F18" s="30">
        <f t="shared" si="1"/>
        <v>5.169550751476367E-4</v>
      </c>
      <c r="G18" s="23">
        <f>'Participaciones  Tabla I'!Y18</f>
        <v>52.6031192064331</v>
      </c>
      <c r="H18" s="20">
        <f t="shared" si="4"/>
        <v>2745.8037358332836</v>
      </c>
      <c r="I18" s="22">
        <f t="shared" si="5"/>
        <v>0.001189074990023385</v>
      </c>
      <c r="J18" s="22">
        <f t="shared" si="2"/>
        <v>3.567224970070155E-4</v>
      </c>
      <c r="K18" s="85">
        <f t="shared" si="3"/>
        <v>8.736775721546522E-4</v>
      </c>
      <c r="O18" s="78"/>
    </row>
    <row r="19" spans="1:15" ht="15">
      <c r="A19" s="18" t="s">
        <v>346</v>
      </c>
      <c r="B19" s="32">
        <v>15</v>
      </c>
      <c r="C19" s="62" t="s">
        <v>192</v>
      </c>
      <c r="D19" s="20">
        <f>'Participaciones  Tabla I'!D19</f>
        <v>5560</v>
      </c>
      <c r="E19" s="30">
        <f t="shared" si="0"/>
        <v>0.0023956244522594272</v>
      </c>
      <c r="F19" s="30">
        <f t="shared" si="1"/>
        <v>0.001676937116581599</v>
      </c>
      <c r="G19" s="23">
        <f>'Participaciones  Tabla I'!Y19</f>
        <v>51.7112428233544</v>
      </c>
      <c r="H19" s="20">
        <f t="shared" si="4"/>
        <v>9629.047329752966</v>
      </c>
      <c r="I19" s="22">
        <f t="shared" si="5"/>
        <v>0.0041698753658684275</v>
      </c>
      <c r="J19" s="22">
        <f t="shared" si="2"/>
        <v>0.0012509626097605283</v>
      </c>
      <c r="K19" s="85">
        <f t="shared" si="3"/>
        <v>0.0029278997263421274</v>
      </c>
      <c r="O19" s="78"/>
    </row>
    <row r="20" spans="1:15" ht="15">
      <c r="A20" s="18" t="s">
        <v>347</v>
      </c>
      <c r="B20" s="32">
        <v>16</v>
      </c>
      <c r="C20" s="61" t="s">
        <v>191</v>
      </c>
      <c r="D20" s="20">
        <f>'Participaciones  Tabla I'!D20</f>
        <v>3104</v>
      </c>
      <c r="E20" s="30">
        <f t="shared" si="0"/>
        <v>0.0013374133632757666</v>
      </c>
      <c r="F20" s="30">
        <f t="shared" si="1"/>
        <v>9.361893542930366E-4</v>
      </c>
      <c r="G20" s="23">
        <f>'Participaciones  Tabla I'!Y20</f>
        <v>52.3038560460195</v>
      </c>
      <c r="H20" s="20">
        <f t="shared" si="4"/>
        <v>5107.813769307434</v>
      </c>
      <c r="I20" s="22">
        <f t="shared" si="5"/>
        <v>0.002211947462784468</v>
      </c>
      <c r="J20" s="22">
        <f t="shared" si="2"/>
        <v>6.635842388353403E-4</v>
      </c>
      <c r="K20" s="85">
        <f t="shared" si="3"/>
        <v>0.0015997735931283768</v>
      </c>
      <c r="O20" s="78"/>
    </row>
    <row r="21" spans="1:15" ht="15">
      <c r="A21" s="18" t="s">
        <v>253</v>
      </c>
      <c r="B21" s="32">
        <v>17</v>
      </c>
      <c r="C21" s="61" t="s">
        <v>190</v>
      </c>
      <c r="D21" s="20">
        <f>'Participaciones  Tabla I'!D21</f>
        <v>4686</v>
      </c>
      <c r="E21" s="30">
        <f t="shared" si="0"/>
        <v>0.002019046076130877</v>
      </c>
      <c r="F21" s="30">
        <f t="shared" si="1"/>
        <v>0.0014133322532916136</v>
      </c>
      <c r="G21" s="23">
        <f>'Participaciones  Tabla I'!Y21</f>
        <v>49.8884484015607</v>
      </c>
      <c r="H21" s="20">
        <f t="shared" si="4"/>
        <v>9359.075603065714</v>
      </c>
      <c r="I21" s="22">
        <f t="shared" si="5"/>
        <v>0.004052963649263228</v>
      </c>
      <c r="J21" s="22">
        <f t="shared" si="2"/>
        <v>0.0012158890947789683</v>
      </c>
      <c r="K21" s="85">
        <f t="shared" si="3"/>
        <v>0.002629221348070582</v>
      </c>
      <c r="O21" s="78"/>
    </row>
    <row r="22" spans="1:15" ht="15">
      <c r="A22" s="18" t="s">
        <v>1</v>
      </c>
      <c r="B22" s="32">
        <v>18</v>
      </c>
      <c r="C22" s="61" t="s">
        <v>189</v>
      </c>
      <c r="D22" s="20">
        <f>'Participaciones  Tabla I'!D22</f>
        <v>3385</v>
      </c>
      <c r="E22" s="30">
        <f t="shared" si="0"/>
        <v>0.0014584871890104606</v>
      </c>
      <c r="F22" s="30">
        <f t="shared" si="1"/>
        <v>0.0010209410323073224</v>
      </c>
      <c r="G22" s="23">
        <f>'Participaciones  Tabla I'!Y22</f>
        <v>52.5760722796216</v>
      </c>
      <c r="H22" s="20">
        <f t="shared" si="4"/>
        <v>5436.052320554814</v>
      </c>
      <c r="I22" s="22">
        <f t="shared" si="5"/>
        <v>0.0023540917271236386</v>
      </c>
      <c r="J22" s="22">
        <f t="shared" si="2"/>
        <v>7.062275181370915E-4</v>
      </c>
      <c r="K22" s="85">
        <f t="shared" si="3"/>
        <v>0.0017271685504444139</v>
      </c>
      <c r="O22" s="78"/>
    </row>
    <row r="23" spans="1:15" ht="15">
      <c r="A23" s="18" t="s">
        <v>254</v>
      </c>
      <c r="B23" s="32">
        <v>19</v>
      </c>
      <c r="C23" s="61" t="s">
        <v>188</v>
      </c>
      <c r="D23" s="20">
        <f>'Participaciones  Tabla I'!D23</f>
        <v>38934</v>
      </c>
      <c r="E23" s="30">
        <f t="shared" si="0"/>
        <v>0.016775403313717362</v>
      </c>
      <c r="F23" s="30">
        <f t="shared" si="1"/>
        <v>0.011742782319602152</v>
      </c>
      <c r="G23" s="23">
        <f>'Participaciones  Tabla I'!Y23</f>
        <v>48.7793371874385</v>
      </c>
      <c r="H23" s="20">
        <f t="shared" si="4"/>
        <v>84047.93563348557</v>
      </c>
      <c r="I23" s="22">
        <f t="shared" si="5"/>
        <v>0.036397101846954785</v>
      </c>
      <c r="J23" s="22">
        <f t="shared" si="2"/>
        <v>0.010919130554086436</v>
      </c>
      <c r="K23" s="85">
        <f t="shared" si="3"/>
        <v>0.022661912873688586</v>
      </c>
      <c r="O23" s="78"/>
    </row>
    <row r="24" spans="1:15" ht="15">
      <c r="A24" s="18" t="s">
        <v>255</v>
      </c>
      <c r="B24" s="32">
        <v>20</v>
      </c>
      <c r="C24" s="62" t="s">
        <v>187</v>
      </c>
      <c r="D24" s="20">
        <f>'Participaciones  Tabla I'!D24</f>
        <v>4497</v>
      </c>
      <c r="E24" s="30">
        <f t="shared" si="0"/>
        <v>0.001937612079462346</v>
      </c>
      <c r="F24" s="30">
        <f t="shared" si="1"/>
        <v>0.001356328455623642</v>
      </c>
      <c r="G24" s="23">
        <f>'Participaciones  Tabla I'!Y24</f>
        <v>55.6889639392364</v>
      </c>
      <c r="H24" s="20">
        <f t="shared" si="4"/>
        <v>5183.632766460962</v>
      </c>
      <c r="I24" s="22">
        <f t="shared" si="5"/>
        <v>0.0022447810087904627</v>
      </c>
      <c r="J24" s="22">
        <f t="shared" si="2"/>
        <v>6.734343026371388E-4</v>
      </c>
      <c r="K24" s="85">
        <f t="shared" si="3"/>
        <v>0.0020297627582607806</v>
      </c>
      <c r="O24" s="78"/>
    </row>
    <row r="25" spans="1:15" ht="15">
      <c r="A25" s="18" t="s">
        <v>348</v>
      </c>
      <c r="B25" s="32">
        <v>21</v>
      </c>
      <c r="C25" s="61" t="s">
        <v>186</v>
      </c>
      <c r="D25" s="20">
        <f>'Participaciones  Tabla I'!D25</f>
        <v>9406</v>
      </c>
      <c r="E25" s="30">
        <f t="shared" si="0"/>
        <v>0.004052741654307945</v>
      </c>
      <c r="F25" s="30">
        <f t="shared" si="1"/>
        <v>0.0028369191580155614</v>
      </c>
      <c r="G25" s="23">
        <f>'Participaciones  Tabla I'!Y25</f>
        <v>50.1713292322921</v>
      </c>
      <c r="H25" s="20">
        <f t="shared" si="4"/>
        <v>18398.648286298398</v>
      </c>
      <c r="I25" s="22">
        <f t="shared" si="5"/>
        <v>0.00796756601426751</v>
      </c>
      <c r="J25" s="22">
        <f t="shared" si="2"/>
        <v>0.0023902698042802526</v>
      </c>
      <c r="K25" s="85">
        <f t="shared" si="3"/>
        <v>0.005227188962295814</v>
      </c>
      <c r="O25" s="78"/>
    </row>
    <row r="26" spans="1:15" ht="15">
      <c r="A26" s="18" t="s">
        <v>257</v>
      </c>
      <c r="B26" s="32">
        <v>22</v>
      </c>
      <c r="C26" s="61" t="s">
        <v>185</v>
      </c>
      <c r="D26" s="20">
        <f>'Participaciones  Tabla I'!D26</f>
        <v>4363</v>
      </c>
      <c r="E26" s="30">
        <f t="shared" si="0"/>
        <v>0.001879875806692065</v>
      </c>
      <c r="F26" s="30">
        <f t="shared" si="1"/>
        <v>0.0013159130646844455</v>
      </c>
      <c r="G26" s="23">
        <f>'Participaciones  Tabla I'!Y26</f>
        <v>49.0889458378362</v>
      </c>
      <c r="H26" s="20">
        <f t="shared" si="4"/>
        <v>9221.852707466202</v>
      </c>
      <c r="I26" s="22">
        <f t="shared" si="5"/>
        <v>0.003993539040327567</v>
      </c>
      <c r="J26" s="22">
        <f t="shared" si="2"/>
        <v>0.00119806171209827</v>
      </c>
      <c r="K26" s="85">
        <f t="shared" si="3"/>
        <v>0.0025139747767827154</v>
      </c>
      <c r="O26" s="78"/>
    </row>
    <row r="27" spans="1:15" ht="15">
      <c r="A27" s="18" t="s">
        <v>349</v>
      </c>
      <c r="B27" s="32">
        <v>23</v>
      </c>
      <c r="C27" s="61" t="s">
        <v>184</v>
      </c>
      <c r="D27" s="20">
        <f>'Participaciones  Tabla I'!D27</f>
        <v>4863</v>
      </c>
      <c r="E27" s="30">
        <f t="shared" si="0"/>
        <v>0.002095309660312517</v>
      </c>
      <c r="F27" s="30">
        <f t="shared" si="1"/>
        <v>0.0014667167622187617</v>
      </c>
      <c r="G27" s="23">
        <f>'Participaciones  Tabla I'!Y27</f>
        <v>54.8270678530427</v>
      </c>
      <c r="H27" s="20">
        <f t="shared" si="4"/>
        <v>6215.784090863124</v>
      </c>
      <c r="I27" s="22">
        <f t="shared" si="5"/>
        <v>0.0026917558998759204</v>
      </c>
      <c r="J27" s="22">
        <f t="shared" si="2"/>
        <v>8.075267699627761E-4</v>
      </c>
      <c r="K27" s="85">
        <f t="shared" si="3"/>
        <v>0.002274243532181538</v>
      </c>
      <c r="O27" s="78"/>
    </row>
    <row r="28" spans="1:15" ht="15">
      <c r="A28" s="18" t="s">
        <v>259</v>
      </c>
      <c r="B28" s="32">
        <v>24</v>
      </c>
      <c r="C28" s="61" t="s">
        <v>183</v>
      </c>
      <c r="D28" s="20">
        <f>'Participaciones  Tabla I'!D28</f>
        <v>3244</v>
      </c>
      <c r="E28" s="30">
        <f t="shared" si="0"/>
        <v>0.001397734842289493</v>
      </c>
      <c r="F28" s="30">
        <f t="shared" si="1"/>
        <v>9.78414389602645E-4</v>
      </c>
      <c r="G28" s="23">
        <f>'Participaciones  Tabla I'!Y28</f>
        <v>51.2264456097306</v>
      </c>
      <c r="H28" s="20">
        <f t="shared" si="4"/>
        <v>5847.081360360137</v>
      </c>
      <c r="I28" s="22">
        <f t="shared" si="5"/>
        <v>0.0025320885537094668</v>
      </c>
      <c r="J28" s="22">
        <f t="shared" si="2"/>
        <v>7.5962656611284E-4</v>
      </c>
      <c r="K28" s="85">
        <f t="shared" si="3"/>
        <v>0.001738040955715485</v>
      </c>
      <c r="O28" s="78"/>
    </row>
    <row r="29" spans="1:15" ht="15">
      <c r="A29" s="18" t="s">
        <v>260</v>
      </c>
      <c r="B29" s="32">
        <v>25</v>
      </c>
      <c r="C29" s="61" t="s">
        <v>182</v>
      </c>
      <c r="D29" s="20">
        <f>'Participaciones  Tabla I'!D29</f>
        <v>6003</v>
      </c>
      <c r="E29" s="30">
        <f t="shared" si="0"/>
        <v>0.0025864988465671476</v>
      </c>
      <c r="F29" s="30">
        <f t="shared" si="1"/>
        <v>0.001810549192597003</v>
      </c>
      <c r="G29" s="23">
        <f>'Participaciones  Tabla I'!Y29</f>
        <v>54.9583229625714</v>
      </c>
      <c r="H29" s="20">
        <f t="shared" si="4"/>
        <v>7558.186264427564</v>
      </c>
      <c r="I29" s="22">
        <f t="shared" si="5"/>
        <v>0.003273085450239466</v>
      </c>
      <c r="J29" s="22">
        <f t="shared" si="2"/>
        <v>9.819256350718398E-4</v>
      </c>
      <c r="K29" s="85">
        <f t="shared" si="3"/>
        <v>0.002792474827668843</v>
      </c>
      <c r="O29" s="78"/>
    </row>
    <row r="30" spans="1:15" ht="15">
      <c r="A30" s="18" t="s">
        <v>261</v>
      </c>
      <c r="B30" s="32">
        <v>26</v>
      </c>
      <c r="C30" s="62" t="s">
        <v>181</v>
      </c>
      <c r="D30" s="20">
        <f>'Participaciones  Tabla I'!D30</f>
        <v>3622</v>
      </c>
      <c r="E30" s="30">
        <f t="shared" si="0"/>
        <v>0.0015606028356265548</v>
      </c>
      <c r="F30" s="30">
        <f t="shared" si="1"/>
        <v>0.0010924219849385883</v>
      </c>
      <c r="G30" s="23">
        <f>'Participaciones  Tabla I'!Y30</f>
        <v>55.0888696794745</v>
      </c>
      <c r="H30" s="20">
        <f t="shared" si="4"/>
        <v>4491.499401449349</v>
      </c>
      <c r="I30" s="22">
        <f t="shared" si="5"/>
        <v>0.001945051474827149</v>
      </c>
      <c r="J30" s="22">
        <f t="shared" si="2"/>
        <v>5.835154424481447E-4</v>
      </c>
      <c r="K30" s="85">
        <f t="shared" si="3"/>
        <v>0.001675937427386733</v>
      </c>
      <c r="O30" s="78"/>
    </row>
    <row r="31" spans="1:15" ht="15">
      <c r="A31" s="18" t="s">
        <v>350</v>
      </c>
      <c r="B31" s="32">
        <v>27</v>
      </c>
      <c r="C31" s="61" t="s">
        <v>180</v>
      </c>
      <c r="D31" s="20">
        <f>'Participaciones  Tabla I'!D31</f>
        <v>8345</v>
      </c>
      <c r="E31" s="30">
        <f t="shared" si="0"/>
        <v>0.0035955910169253452</v>
      </c>
      <c r="F31" s="30">
        <f t="shared" si="1"/>
        <v>0.0025169137118477413</v>
      </c>
      <c r="G31" s="23">
        <f>'Participaciones  Tabla I'!Y31</f>
        <v>56.7109714416638</v>
      </c>
      <c r="H31" s="20">
        <f t="shared" si="4"/>
        <v>8377.399947292342</v>
      </c>
      <c r="I31" s="22">
        <f t="shared" si="5"/>
        <v>0.0036278473325499798</v>
      </c>
      <c r="J31" s="22">
        <f t="shared" si="2"/>
        <v>0.001088354199764994</v>
      </c>
      <c r="K31" s="85">
        <f t="shared" si="3"/>
        <v>0.0036052679116127355</v>
      </c>
      <c r="O31" s="78"/>
    </row>
    <row r="32" spans="1:15" ht="15">
      <c r="A32" s="18" t="s">
        <v>263</v>
      </c>
      <c r="B32" s="32">
        <v>28</v>
      </c>
      <c r="C32" s="61" t="s">
        <v>179</v>
      </c>
      <c r="D32" s="20">
        <f>'Participaciones  Tabla I'!D32</f>
        <v>2936</v>
      </c>
      <c r="E32" s="30">
        <f t="shared" si="0"/>
        <v>0.0012650275884592947</v>
      </c>
      <c r="F32" s="30">
        <f t="shared" si="1"/>
        <v>8.855193119215062E-4</v>
      </c>
      <c r="G32" s="23">
        <f>'Participaciones  Tabla I'!Y32</f>
        <v>54.9039494576125</v>
      </c>
      <c r="H32" s="20">
        <f t="shared" si="4"/>
        <v>3719.867839540674</v>
      </c>
      <c r="I32" s="22">
        <f t="shared" si="5"/>
        <v>0.0016108951111350298</v>
      </c>
      <c r="J32" s="22">
        <f t="shared" si="2"/>
        <v>4.8326853334050893E-4</v>
      </c>
      <c r="K32" s="85">
        <f t="shared" si="3"/>
        <v>0.0013687878452620151</v>
      </c>
      <c r="O32" s="78"/>
    </row>
    <row r="33" spans="1:15" ht="15">
      <c r="A33" s="18" t="s">
        <v>351</v>
      </c>
      <c r="B33" s="32">
        <v>29</v>
      </c>
      <c r="C33" s="61" t="s">
        <v>178</v>
      </c>
      <c r="D33" s="20">
        <f>'Participaciones  Tabla I'!D33</f>
        <v>6240</v>
      </c>
      <c r="E33" s="30">
        <f t="shared" si="0"/>
        <v>0.002688614493183242</v>
      </c>
      <c r="F33" s="30">
        <f t="shared" si="1"/>
        <v>0.0018820301452282691</v>
      </c>
      <c r="G33" s="23">
        <f>'Participaciones  Tabla I'!Y33</f>
        <v>55.4621829769392</v>
      </c>
      <c r="H33" s="20">
        <f t="shared" si="4"/>
        <v>7398.806429399749</v>
      </c>
      <c r="I33" s="22">
        <f t="shared" si="5"/>
        <v>0.0032040657409017495</v>
      </c>
      <c r="J33" s="22">
        <f t="shared" si="2"/>
        <v>9.612197222705248E-4</v>
      </c>
      <c r="K33" s="85">
        <f t="shared" si="3"/>
        <v>0.002843249867498794</v>
      </c>
      <c r="O33" s="78"/>
    </row>
    <row r="34" spans="1:15" ht="15">
      <c r="A34" s="18" t="s">
        <v>352</v>
      </c>
      <c r="B34" s="32">
        <v>30</v>
      </c>
      <c r="C34" s="61" t="s">
        <v>177</v>
      </c>
      <c r="D34" s="20">
        <f>'Participaciones  Tabla I'!D34</f>
        <v>4015</v>
      </c>
      <c r="E34" s="30">
        <f t="shared" si="0"/>
        <v>0.0017299338445722302</v>
      </c>
      <c r="F34" s="30">
        <f t="shared" si="1"/>
        <v>0.001210953691200561</v>
      </c>
      <c r="G34" s="23">
        <f>'Participaciones  Tabla I'!Y34</f>
        <v>49.2620186668522</v>
      </c>
      <c r="H34" s="20">
        <f t="shared" si="4"/>
        <v>8385.127079656872</v>
      </c>
      <c r="I34" s="22">
        <f t="shared" si="5"/>
        <v>0.0036311935803969597</v>
      </c>
      <c r="J34" s="22">
        <f t="shared" si="2"/>
        <v>0.001089358074119088</v>
      </c>
      <c r="K34" s="85">
        <f t="shared" si="3"/>
        <v>0.002300311765319649</v>
      </c>
      <c r="O34" s="78"/>
    </row>
    <row r="35" spans="1:15" ht="15">
      <c r="A35" s="18" t="s">
        <v>266</v>
      </c>
      <c r="B35" s="32">
        <v>31</v>
      </c>
      <c r="C35" s="62" t="s">
        <v>176</v>
      </c>
      <c r="D35" s="20">
        <f>'Participaciones  Tabla I'!D35</f>
        <v>2818</v>
      </c>
      <c r="E35" s="30">
        <f t="shared" si="0"/>
        <v>0.001214185199004868</v>
      </c>
      <c r="F35" s="30">
        <f t="shared" si="1"/>
        <v>8.499296393034075E-4</v>
      </c>
      <c r="G35" s="23">
        <f>'Participaciones  Tabla I'!Y35</f>
        <v>51.2622940367818</v>
      </c>
      <c r="H35" s="20">
        <f t="shared" si="4"/>
        <v>5064.537746873194</v>
      </c>
      <c r="I35" s="22">
        <f t="shared" si="5"/>
        <v>0.002193206707473845</v>
      </c>
      <c r="J35" s="22">
        <f t="shared" si="2"/>
        <v>6.579620122421536E-4</v>
      </c>
      <c r="K35" s="85">
        <f t="shared" si="3"/>
        <v>0.0015078916515455611</v>
      </c>
      <c r="O35" s="78"/>
    </row>
    <row r="36" spans="1:15" ht="15">
      <c r="A36" s="18" t="s">
        <v>267</v>
      </c>
      <c r="B36" s="32">
        <v>32</v>
      </c>
      <c r="C36" s="61" t="s">
        <v>175</v>
      </c>
      <c r="D36" s="20">
        <f>'Participaciones  Tabla I'!D36</f>
        <v>16779</v>
      </c>
      <c r="E36" s="30">
        <f t="shared" si="0"/>
        <v>0.007229529259795131</v>
      </c>
      <c r="F36" s="30">
        <f t="shared" si="1"/>
        <v>0.005060670481856592</v>
      </c>
      <c r="G36" s="23">
        <f>'Participaciones  Tabla I'!Y36</f>
        <v>52.251815023814</v>
      </c>
      <c r="H36" s="20">
        <f t="shared" si="4"/>
        <v>27737.964456165846</v>
      </c>
      <c r="I36" s="22">
        <f t="shared" si="5"/>
        <v>0.012011972807289894</v>
      </c>
      <c r="J36" s="22">
        <f t="shared" si="2"/>
        <v>0.003603591842186968</v>
      </c>
      <c r="K36" s="85">
        <f t="shared" si="3"/>
        <v>0.00866426232404356</v>
      </c>
      <c r="O36" s="78"/>
    </row>
    <row r="37" spans="1:15" ht="15">
      <c r="A37" s="18" t="s">
        <v>353</v>
      </c>
      <c r="B37" s="32">
        <v>33</v>
      </c>
      <c r="C37" s="61" t="s">
        <v>174</v>
      </c>
      <c r="D37" s="20">
        <f>'Participaciones  Tabla I'!D37</f>
        <v>21255</v>
      </c>
      <c r="E37" s="30">
        <f t="shared" si="6" ref="E37:E68">D37/$D$112</f>
        <v>0.009158093117405418</v>
      </c>
      <c r="F37" s="30">
        <f t="shared" si="7" ref="F37:F68">E37*0.7</f>
        <v>0.006410665182183792</v>
      </c>
      <c r="G37" s="23">
        <f>'Participaciones  Tabla I'!Y37</f>
        <v>52.1099507305459</v>
      </c>
      <c r="H37" s="20">
        <f t="shared" si="4"/>
        <v>35576.43139555913</v>
      </c>
      <c r="I37" s="22">
        <f t="shared" si="5"/>
        <v>0.015406434281765654</v>
      </c>
      <c r="J37" s="22">
        <f t="shared" si="8" ref="J37:J68">I37*0.3</f>
        <v>0.0046219302845296965</v>
      </c>
      <c r="K37" s="85">
        <f t="shared" si="9" ref="K37:K68">+F37+J37</f>
        <v>0.011032595466713488</v>
      </c>
      <c r="O37" s="78"/>
    </row>
    <row r="38" spans="1:15" ht="15">
      <c r="A38" s="18" t="s">
        <v>354</v>
      </c>
      <c r="B38" s="32">
        <v>34</v>
      </c>
      <c r="C38" s="61" t="s">
        <v>173</v>
      </c>
      <c r="D38" s="20">
        <f>'Participaciones  Tabla I'!D38</f>
        <v>6514</v>
      </c>
      <c r="E38" s="30">
        <f t="shared" si="6"/>
        <v>0.0028066722449672497</v>
      </c>
      <c r="F38" s="30">
        <f t="shared" si="7"/>
        <v>0.001964670571477075</v>
      </c>
      <c r="G38" s="23">
        <f>'Participaciones  Tabla I'!Y38</f>
        <v>50.9666741662071</v>
      </c>
      <c r="H38" s="20">
        <f t="shared" si="4"/>
        <v>11987.403100481197</v>
      </c>
      <c r="I38" s="22">
        <f t="shared" si="5"/>
        <v>0.00519116535391604</v>
      </c>
      <c r="J38" s="22">
        <f t="shared" si="8"/>
        <v>0.001557349606174812</v>
      </c>
      <c r="K38" s="85">
        <f t="shared" si="9"/>
        <v>0.003522020177651887</v>
      </c>
      <c r="O38" s="78"/>
    </row>
    <row r="39" spans="1:15" ht="15">
      <c r="A39" s="18" t="s">
        <v>355</v>
      </c>
      <c r="B39" s="32">
        <v>35</v>
      </c>
      <c r="C39" s="61" t="s">
        <v>172</v>
      </c>
      <c r="D39" s="20">
        <f>'Participaciones  Tabla I'!D39</f>
        <v>6384</v>
      </c>
      <c r="E39" s="30">
        <f t="shared" si="6"/>
        <v>0.0027506594430259323</v>
      </c>
      <c r="F39" s="30">
        <f t="shared" si="7"/>
        <v>0.0019254616101181525</v>
      </c>
      <c r="G39" s="23">
        <f>'Participaciones  Tabla I'!Y39</f>
        <v>52.6601571389383</v>
      </c>
      <c r="H39" s="20">
        <f t="shared" si="4"/>
        <v>10174.060273722596</v>
      </c>
      <c r="I39" s="22">
        <f t="shared" si="5"/>
        <v>0.004405894150625683</v>
      </c>
      <c r="J39" s="22">
        <f t="shared" si="8"/>
        <v>0.001321768245187705</v>
      </c>
      <c r="K39" s="85">
        <f t="shared" si="9"/>
        <v>0.0032472298553058573</v>
      </c>
      <c r="O39" s="78"/>
    </row>
    <row r="40" spans="1:15" ht="15">
      <c r="A40" s="18" t="s">
        <v>356</v>
      </c>
      <c r="B40" s="32">
        <v>36</v>
      </c>
      <c r="C40" s="62" t="s">
        <v>171</v>
      </c>
      <c r="D40" s="20">
        <f>'Participaciones  Tabla I'!D40</f>
        <v>8090</v>
      </c>
      <c r="E40" s="30">
        <f t="shared" si="6"/>
        <v>0.0034857197515789145</v>
      </c>
      <c r="F40" s="30">
        <f t="shared" si="7"/>
        <v>0.00244000382610524</v>
      </c>
      <c r="G40" s="23">
        <f>'Participaciones  Tabla I'!Y40</f>
        <v>53.0303898657951</v>
      </c>
      <c r="H40" s="20">
        <f t="shared" si="4"/>
        <v>12456.781655520479</v>
      </c>
      <c r="I40" s="22">
        <f t="shared" si="5"/>
        <v>0.005394430537573148</v>
      </c>
      <c r="J40" s="22">
        <f t="shared" si="8"/>
        <v>0.0016183291612719443</v>
      </c>
      <c r="K40" s="85">
        <f t="shared" si="9"/>
        <v>0.004058332987377184</v>
      </c>
      <c r="O40" s="78"/>
    </row>
    <row r="41" spans="1:15" ht="15">
      <c r="A41" s="18" t="s">
        <v>357</v>
      </c>
      <c r="B41" s="32">
        <v>37</v>
      </c>
      <c r="C41" s="62" t="s">
        <v>170</v>
      </c>
      <c r="D41" s="20">
        <f>'Participaciones  Tabla I'!D41</f>
        <v>5250</v>
      </c>
      <c r="E41" s="30">
        <f t="shared" si="6"/>
        <v>0.002262055463014747</v>
      </c>
      <c r="F41" s="30">
        <f t="shared" si="7"/>
        <v>0.001583438824110323</v>
      </c>
      <c r="G41" s="23">
        <f>'Participaciones  Tabla I'!Y41</f>
        <v>54.0880772842783</v>
      </c>
      <c r="H41" s="20">
        <f t="shared" si="4"/>
        <v>7275.323723897664</v>
      </c>
      <c r="I41" s="22">
        <f t="shared" si="5"/>
        <v>0.0031505913447179338</v>
      </c>
      <c r="J41" s="22">
        <f t="shared" si="8"/>
        <v>9.4517740341538E-4</v>
      </c>
      <c r="K41" s="85">
        <f t="shared" si="9"/>
        <v>0.002528616227525703</v>
      </c>
      <c r="O41" s="78"/>
    </row>
    <row r="42" spans="1:15" ht="15">
      <c r="A42" s="18" t="s">
        <v>358</v>
      </c>
      <c r="B42" s="32">
        <v>38</v>
      </c>
      <c r="C42" s="61" t="s">
        <v>169</v>
      </c>
      <c r="D42" s="20">
        <f>'Participaciones  Tabla I'!D42</f>
        <v>35137</v>
      </c>
      <c r="E42" s="30">
        <f t="shared" si="6"/>
        <v>0.01513939862932365</v>
      </c>
      <c r="F42" s="30">
        <f t="shared" si="7"/>
        <v>0.010597579040526555</v>
      </c>
      <c r="G42" s="23">
        <f>'Participaciones  Tabla I'!Y42</f>
        <v>54.4931812120775</v>
      </c>
      <c r="H42" s="20">
        <f t="shared" si="4"/>
        <v>46619.519158979456</v>
      </c>
      <c r="I42" s="22">
        <f t="shared" si="5"/>
        <v>0.02018866226869475</v>
      </c>
      <c r="J42" s="22">
        <f t="shared" si="8"/>
        <v>0.0060565986806084245</v>
      </c>
      <c r="K42" s="85">
        <f t="shared" si="9"/>
        <v>0.01665417772113498</v>
      </c>
      <c r="O42" s="78"/>
    </row>
    <row r="43" spans="1:15" ht="15">
      <c r="A43" s="18" t="s">
        <v>274</v>
      </c>
      <c r="B43" s="32">
        <v>39</v>
      </c>
      <c r="C43" s="62" t="s">
        <v>168</v>
      </c>
      <c r="D43" s="20">
        <f>'Participaciones  Tabla I'!D43</f>
        <v>4186</v>
      </c>
      <c r="E43" s="30">
        <f t="shared" si="6"/>
        <v>0.0018036122225104248</v>
      </c>
      <c r="F43" s="30">
        <f t="shared" si="7"/>
        <v>0.0012625285557572973</v>
      </c>
      <c r="G43" s="23">
        <f>'Participaciones  Tabla I'!Y43</f>
        <v>55.1057406418157</v>
      </c>
      <c r="H43" s="20">
        <f t="shared" si="4"/>
        <v>5180.611024441138</v>
      </c>
      <c r="I43" s="22">
        <f t="shared" si="5"/>
        <v>0.00224347243825602</v>
      </c>
      <c r="J43" s="22">
        <f t="shared" si="8"/>
        <v>6.73041731476806E-4</v>
      </c>
      <c r="K43" s="85">
        <f t="shared" si="9"/>
        <v>0.0019355702872341034</v>
      </c>
      <c r="O43" s="78"/>
    </row>
    <row r="44" spans="1:15" ht="15">
      <c r="A44" s="18" t="s">
        <v>275</v>
      </c>
      <c r="B44" s="32">
        <v>40</v>
      </c>
      <c r="C44" s="62" t="s">
        <v>167</v>
      </c>
      <c r="D44" s="20">
        <f>'Participaciones  Tabla I'!D44</f>
        <v>28555</v>
      </c>
      <c r="E44" s="30">
        <f t="shared" si="6"/>
        <v>0.012303427380264019</v>
      </c>
      <c r="F44" s="30">
        <f t="shared" si="7"/>
        <v>0.008612399166184812</v>
      </c>
      <c r="G44" s="23">
        <f>'Participaciones  Tabla I'!Y44</f>
        <v>55.0226455444762</v>
      </c>
      <c r="H44" s="20">
        <f t="shared" si="4"/>
        <v>35685.263703121345</v>
      </c>
      <c r="I44" s="22">
        <f t="shared" si="5"/>
        <v>0.015453564298139346</v>
      </c>
      <c r="J44" s="22">
        <f t="shared" si="8"/>
        <v>0.0046360692894418035</v>
      </c>
      <c r="K44" s="85">
        <f t="shared" si="9"/>
        <v>0.013248468455626616</v>
      </c>
      <c r="O44" s="78"/>
    </row>
    <row r="45" spans="1:15" ht="15">
      <c r="A45" s="18" t="s">
        <v>359</v>
      </c>
      <c r="B45" s="32">
        <v>41</v>
      </c>
      <c r="C45" s="62" t="s">
        <v>166</v>
      </c>
      <c r="D45" s="20">
        <f>'Participaciones  Tabla I'!D45</f>
        <v>141939</v>
      </c>
      <c r="E45" s="30">
        <f t="shared" si="6"/>
        <v>0.0611569314980667</v>
      </c>
      <c r="F45" s="30">
        <f t="shared" si="7"/>
        <v>0.042809852048646686</v>
      </c>
      <c r="G45" s="23">
        <f>'Participaciones  Tabla I'!Y45</f>
        <v>58.1220187891718</v>
      </c>
      <c r="H45" s="20">
        <f t="shared" si="4"/>
        <v>113328.93265219289</v>
      </c>
      <c r="I45" s="22">
        <f t="shared" si="5"/>
        <v>0.049077287536675236</v>
      </c>
      <c r="J45" s="22">
        <f t="shared" si="8"/>
        <v>0.01472318626100257</v>
      </c>
      <c r="K45" s="85">
        <f t="shared" si="9"/>
        <v>0.05753303830964926</v>
      </c>
      <c r="O45" s="78"/>
    </row>
    <row r="46" spans="1:15" ht="15">
      <c r="A46" s="18" t="s">
        <v>277</v>
      </c>
      <c r="B46" s="32">
        <v>42</v>
      </c>
      <c r="C46" s="61" t="s">
        <v>165</v>
      </c>
      <c r="D46" s="20">
        <f>'Participaciones  Tabla I'!D46</f>
        <v>5553</v>
      </c>
      <c r="E46" s="30">
        <f t="shared" si="6"/>
        <v>0.0023926083783087407</v>
      </c>
      <c r="F46" s="30">
        <f t="shared" si="7"/>
        <v>0.0016748258648161185</v>
      </c>
      <c r="G46" s="23">
        <f>'Participaciones  Tabla I'!Y46</f>
        <v>52.5371522522648</v>
      </c>
      <c r="H46" s="20">
        <f t="shared" si="4"/>
        <v>8949.162779886068</v>
      </c>
      <c r="I46" s="22">
        <f t="shared" si="5"/>
        <v>0.003875450202190553</v>
      </c>
      <c r="J46" s="22">
        <f t="shared" si="8"/>
        <v>0.001162635060657166</v>
      </c>
      <c r="K46" s="85">
        <f t="shared" si="9"/>
        <v>0.0028374609254732844</v>
      </c>
      <c r="O46" s="78"/>
    </row>
    <row r="47" spans="1:15" ht="15">
      <c r="A47" s="18" t="s">
        <v>278</v>
      </c>
      <c r="B47" s="32">
        <v>43</v>
      </c>
      <c r="C47" s="61" t="s">
        <v>164</v>
      </c>
      <c r="D47" s="20">
        <f>'Participaciones  Tabla I'!D47</f>
        <v>3405</v>
      </c>
      <c r="E47" s="30">
        <f t="shared" si="6"/>
        <v>0.0014671045431552787</v>
      </c>
      <c r="F47" s="30">
        <f t="shared" si="7"/>
        <v>0.001026973180208695</v>
      </c>
      <c r="G47" s="23">
        <f>'Participaciones  Tabla I'!Y47</f>
        <v>51.9408331092958</v>
      </c>
      <c r="H47" s="20">
        <f t="shared" si="4"/>
        <v>5783.102051070634</v>
      </c>
      <c r="I47" s="22">
        <f t="shared" si="5"/>
        <v>0.0025043822047223527</v>
      </c>
      <c r="J47" s="22">
        <f t="shared" si="8"/>
        <v>7.513146614167058E-4</v>
      </c>
      <c r="K47" s="85">
        <f t="shared" si="9"/>
        <v>0.0017782878416254008</v>
      </c>
      <c r="O47" s="78"/>
    </row>
    <row r="48" spans="1:15" ht="15">
      <c r="A48" s="18" t="s">
        <v>279</v>
      </c>
      <c r="B48" s="32">
        <v>44</v>
      </c>
      <c r="C48" s="61" t="s">
        <v>163</v>
      </c>
      <c r="D48" s="20">
        <f>'Participaciones  Tabla I'!D48</f>
        <v>7530</v>
      </c>
      <c r="E48" s="30">
        <f t="shared" si="6"/>
        <v>0.003244433835524008</v>
      </c>
      <c r="F48" s="30">
        <f t="shared" si="7"/>
        <v>0.0022711036848668056</v>
      </c>
      <c r="G48" s="23">
        <f>'Participaciones  Tabla I'!Y48</f>
        <v>53.8417356501315</v>
      </c>
      <c r="H48" s="20">
        <f t="shared" si="4"/>
        <v>10704.973968736624</v>
      </c>
      <c r="I48" s="22">
        <f t="shared" si="5"/>
        <v>0.004635807231580284</v>
      </c>
      <c r="J48" s="22">
        <f t="shared" si="8"/>
        <v>0.001390742169474085</v>
      </c>
      <c r="K48" s="85">
        <f t="shared" si="9"/>
        <v>0.003661845854340891</v>
      </c>
      <c r="O48" s="78"/>
    </row>
    <row r="49" spans="1:15" ht="15">
      <c r="A49" s="18" t="s">
        <v>360</v>
      </c>
      <c r="B49" s="32">
        <v>45</v>
      </c>
      <c r="C49" s="61" t="s">
        <v>162</v>
      </c>
      <c r="D49" s="20">
        <f>'Participaciones  Tabla I'!D49</f>
        <v>2677</v>
      </c>
      <c r="E49" s="30">
        <f t="shared" si="6"/>
        <v>0.0011534328522839004</v>
      </c>
      <c r="F49" s="30">
        <f t="shared" si="7"/>
        <v>8.074029965987302E-4</v>
      </c>
      <c r="G49" s="23">
        <f>'Participaciones  Tabla I'!Y49</f>
        <v>54.6742960350614</v>
      </c>
      <c r="H49" s="20">
        <f t="shared" si="4"/>
        <v>3481.231025258872</v>
      </c>
      <c r="I49" s="22">
        <f t="shared" si="5"/>
        <v>0.0015075530317801727</v>
      </c>
      <c r="J49" s="22">
        <f t="shared" si="8"/>
        <v>4.522659095340518E-4</v>
      </c>
      <c r="K49" s="85">
        <f t="shared" si="9"/>
        <v>0.001259668906132782</v>
      </c>
      <c r="O49" s="78"/>
    </row>
    <row r="50" spans="1:15" ht="15">
      <c r="A50" s="18" t="s">
        <v>281</v>
      </c>
      <c r="B50" s="32">
        <v>46</v>
      </c>
      <c r="C50" s="61" t="s">
        <v>161</v>
      </c>
      <c r="D50" s="20">
        <f>'Participaciones  Tabla I'!D50</f>
        <v>3296</v>
      </c>
      <c r="E50" s="30">
        <f t="shared" si="6"/>
        <v>0.0014201399630660201</v>
      </c>
      <c r="F50" s="30">
        <f t="shared" si="7"/>
        <v>9.94097974146214E-4</v>
      </c>
      <c r="G50" s="23">
        <f>'Participaciones  Tabla I'!Y50</f>
        <v>51.8632356982559</v>
      </c>
      <c r="H50" s="20">
        <f t="shared" si="4"/>
        <v>5635.213660172665</v>
      </c>
      <c r="I50" s="22">
        <f t="shared" si="5"/>
        <v>0.002440338884860596</v>
      </c>
      <c r="J50" s="22">
        <f t="shared" si="8"/>
        <v>7.321016654581788E-4</v>
      </c>
      <c r="K50" s="85">
        <f t="shared" si="9"/>
        <v>0.0017261996396043928</v>
      </c>
      <c r="O50" s="78"/>
    </row>
    <row r="51" spans="1:15" ht="15">
      <c r="A51" s="18" t="s">
        <v>361</v>
      </c>
      <c r="B51" s="32">
        <v>47</v>
      </c>
      <c r="C51" s="61" t="s">
        <v>160</v>
      </c>
      <c r="D51" s="20">
        <f>'Participaciones  Tabla I'!D51</f>
        <v>5968</v>
      </c>
      <c r="E51" s="30">
        <f t="shared" si="6"/>
        <v>0.002571418476813716</v>
      </c>
      <c r="F51" s="30">
        <f t="shared" si="7"/>
        <v>0.001799992933769601</v>
      </c>
      <c r="G51" s="23">
        <f>'Participaciones  Tabla I'!Y51</f>
        <v>51.9982247690659</v>
      </c>
      <c r="H51" s="20">
        <f t="shared" si="4"/>
        <v>10086.268970588053</v>
      </c>
      <c r="I51" s="22">
        <f t="shared" si="5"/>
        <v>0.0043678759770991015</v>
      </c>
      <c r="J51" s="22">
        <f t="shared" si="8"/>
        <v>0.0013103627931297303</v>
      </c>
      <c r="K51" s="85">
        <f t="shared" si="9"/>
        <v>0.003110355726899331</v>
      </c>
      <c r="O51" s="78"/>
    </row>
    <row r="52" spans="1:15" ht="15">
      <c r="A52" s="18" t="s">
        <v>362</v>
      </c>
      <c r="B52" s="32">
        <v>48</v>
      </c>
      <c r="C52" s="61" t="s">
        <v>159</v>
      </c>
      <c r="D52" s="20">
        <f>'Participaciones  Tabla I'!D52</f>
        <v>23991</v>
      </c>
      <c r="E52" s="30">
        <f t="shared" si="6"/>
        <v>0.010336947164416532</v>
      </c>
      <c r="F52" s="30">
        <f t="shared" si="7"/>
        <v>0.007235863015091572</v>
      </c>
      <c r="G52" s="23">
        <f>'Participaciones  Tabla I'!Y52</f>
        <v>53.775413786013</v>
      </c>
      <c r="H52" s="20">
        <f t="shared" si="4"/>
        <v>34338.31236838134</v>
      </c>
      <c r="I52" s="22">
        <f t="shared" si="5"/>
        <v>0.014870264725771366</v>
      </c>
      <c r="J52" s="22">
        <f t="shared" si="8"/>
        <v>0.00446107941773141</v>
      </c>
      <c r="K52" s="85">
        <f t="shared" si="9"/>
        <v>0.01169694243282298</v>
      </c>
      <c r="O52" s="78"/>
    </row>
    <row r="53" spans="1:15" ht="15">
      <c r="A53" s="18" t="s">
        <v>363</v>
      </c>
      <c r="B53" s="32">
        <v>49</v>
      </c>
      <c r="C53" s="61" t="s">
        <v>158</v>
      </c>
      <c r="D53" s="20">
        <f>'Participaciones  Tabla I'!D53</f>
        <v>3965</v>
      </c>
      <c r="E53" s="30">
        <f t="shared" si="6"/>
        <v>0.001708390459210185</v>
      </c>
      <c r="F53" s="30">
        <f t="shared" si="7"/>
        <v>0.0011958733214471294</v>
      </c>
      <c r="G53" s="23">
        <f>'Participaciones  Tabla I'!Y53</f>
        <v>46.5053986922235</v>
      </c>
      <c r="H53" s="20">
        <f t="shared" si="4"/>
        <v>9872.1123133846</v>
      </c>
      <c r="I53" s="22">
        <f t="shared" si="5"/>
        <v>0.004275135071511267</v>
      </c>
      <c r="J53" s="22">
        <f t="shared" si="8"/>
        <v>0.00128254052145338</v>
      </c>
      <c r="K53" s="85">
        <f t="shared" si="9"/>
        <v>0.0024784138429005094</v>
      </c>
      <c r="O53" s="78"/>
    </row>
    <row r="54" spans="1:15" ht="15">
      <c r="A54" s="18" t="s">
        <v>364</v>
      </c>
      <c r="B54" s="32">
        <v>50</v>
      </c>
      <c r="C54" s="62" t="s">
        <v>157</v>
      </c>
      <c r="D54" s="20">
        <f>'Participaciones  Tabla I'!D54</f>
        <v>995129</v>
      </c>
      <c r="E54" s="30">
        <f t="shared" si="6"/>
        <v>0.4287689506389337</v>
      </c>
      <c r="F54" s="30">
        <f t="shared" si="7"/>
        <v>0.3001382654472536</v>
      </c>
      <c r="G54" s="23">
        <f>'Participaciones  Tabla I'!Y54</f>
        <v>59.9136202879157</v>
      </c>
      <c r="H54" s="20">
        <f t="shared" si="4"/>
        <v>534958.3490673794</v>
      </c>
      <c r="I54" s="22">
        <f t="shared" si="5"/>
        <v>0.23166462528946127</v>
      </c>
      <c r="J54" s="22">
        <f t="shared" si="8"/>
        <v>0.06949938758683838</v>
      </c>
      <c r="K54" s="85">
        <f t="shared" si="9"/>
        <v>0.36963765303409196</v>
      </c>
      <c r="O54" s="78"/>
    </row>
    <row r="55" spans="1:15" ht="15">
      <c r="A55" s="18" t="s">
        <v>365</v>
      </c>
      <c r="B55" s="32">
        <v>51</v>
      </c>
      <c r="C55" s="61" t="s">
        <v>156</v>
      </c>
      <c r="D55" s="20">
        <f>'Participaciones  Tabla I'!D55</f>
        <v>3430</v>
      </c>
      <c r="E55" s="30">
        <f t="shared" si="6"/>
        <v>0.0014778762358363014</v>
      </c>
      <c r="F55" s="30">
        <f t="shared" si="7"/>
        <v>0.0010345133650854108</v>
      </c>
      <c r="G55" s="23">
        <f>'Participaciones  Tabla I'!Y55</f>
        <v>55.489157746077</v>
      </c>
      <c r="H55" s="20">
        <f t="shared" si="4"/>
        <v>4053.500708347174</v>
      </c>
      <c r="I55" s="22">
        <f t="shared" si="5"/>
        <v>0.0017553753938917176</v>
      </c>
      <c r="J55" s="22">
        <f t="shared" si="8"/>
        <v>5.266126181675153E-4</v>
      </c>
      <c r="K55" s="85">
        <f t="shared" si="9"/>
        <v>0.0015611259832529261</v>
      </c>
      <c r="O55" s="78"/>
    </row>
    <row r="56" spans="1:15" ht="15">
      <c r="A56" s="18" t="s">
        <v>287</v>
      </c>
      <c r="B56" s="32">
        <v>52</v>
      </c>
      <c r="C56" s="62" t="s">
        <v>155</v>
      </c>
      <c r="D56" s="20">
        <f>'Participaciones  Tabla I'!D56</f>
        <v>37804</v>
      </c>
      <c r="E56" s="30">
        <f t="shared" si="6"/>
        <v>0.01628852280453514</v>
      </c>
      <c r="F56" s="30">
        <f t="shared" si="7"/>
        <v>0.011401965963174597</v>
      </c>
      <c r="G56" s="23">
        <f>'Participaciones  Tabla I'!Y56</f>
        <v>55.3838778121845</v>
      </c>
      <c r="H56" s="20">
        <f t="shared" si="4"/>
        <v>45255.44779219856</v>
      </c>
      <c r="I56" s="22">
        <f t="shared" si="5"/>
        <v>0.019597948837257906</v>
      </c>
      <c r="J56" s="22">
        <f t="shared" si="8"/>
        <v>0.005879384651177371</v>
      </c>
      <c r="K56" s="85">
        <f t="shared" si="9"/>
        <v>0.01728135061435197</v>
      </c>
      <c r="O56" s="78"/>
    </row>
    <row r="57" spans="1:15" ht="15">
      <c r="A57" s="18" t="s">
        <v>288</v>
      </c>
      <c r="B57" s="32">
        <v>53</v>
      </c>
      <c r="C57" s="61" t="s">
        <v>154</v>
      </c>
      <c r="D57" s="20">
        <f>'Participaciones  Tabla I'!D57</f>
        <v>13494</v>
      </c>
      <c r="E57" s="30">
        <f t="shared" si="6"/>
        <v>0.005814128841508761</v>
      </c>
      <c r="F57" s="30">
        <f t="shared" si="7"/>
        <v>0.004069890189056132</v>
      </c>
      <c r="G57" s="23">
        <f>'Participaciones  Tabla I'!Y57</f>
        <v>55.2898211359705</v>
      </c>
      <c r="H57" s="20">
        <f t="shared" si="4"/>
        <v>16338.562762880752</v>
      </c>
      <c r="I57" s="22">
        <f t="shared" si="5"/>
        <v>0.007075442465436455</v>
      </c>
      <c r="J57" s="22">
        <f t="shared" si="8"/>
        <v>0.0021226327396309365</v>
      </c>
      <c r="K57" s="85">
        <f t="shared" si="9"/>
        <v>0.006192522928687069</v>
      </c>
      <c r="O57" s="78"/>
    </row>
    <row r="58" spans="1:15" ht="15">
      <c r="A58" s="18" t="s">
        <v>289</v>
      </c>
      <c r="B58" s="32">
        <v>54</v>
      </c>
      <c r="C58" s="61" t="s">
        <v>153</v>
      </c>
      <c r="D58" s="20">
        <f>'Participaciones  Tabla I'!D58</f>
        <v>2990</v>
      </c>
      <c r="E58" s="30">
        <f t="shared" si="6"/>
        <v>0.0012882944446503035</v>
      </c>
      <c r="F58" s="30">
        <f t="shared" si="7"/>
        <v>9.018061112552124E-4</v>
      </c>
      <c r="G58" s="23">
        <f>'Participaciones  Tabla I'!Y58</f>
        <v>53.9250031289327</v>
      </c>
      <c r="H58" s="20">
        <f t="shared" si="4"/>
        <v>4214.46343783792</v>
      </c>
      <c r="I58" s="22">
        <f t="shared" si="5"/>
        <v>0.0018250805783758012</v>
      </c>
      <c r="J58" s="22">
        <f t="shared" si="8"/>
        <v>5.475241735127404E-4</v>
      </c>
      <c r="K58" s="85">
        <f t="shared" si="9"/>
        <v>0.0014493302847679527</v>
      </c>
      <c r="O58" s="78"/>
    </row>
    <row r="59" spans="1:15" ht="15">
      <c r="A59" s="18" t="s">
        <v>366</v>
      </c>
      <c r="B59" s="32">
        <v>55</v>
      </c>
      <c r="C59" s="61" t="s">
        <v>152</v>
      </c>
      <c r="D59" s="20">
        <f>'Participaciones  Tabla I'!D59</f>
        <v>7080</v>
      </c>
      <c r="E59" s="30">
        <f t="shared" si="6"/>
        <v>0.0030505433672656014</v>
      </c>
      <c r="F59" s="30">
        <f t="shared" si="7"/>
        <v>0.002135380357085921</v>
      </c>
      <c r="G59" s="23">
        <f>'Participaciones  Tabla I'!Y59</f>
        <v>53.7479749863579</v>
      </c>
      <c r="H59" s="20">
        <f t="shared" si="4"/>
        <v>10161.887481262924</v>
      </c>
      <c r="I59" s="22">
        <f t="shared" si="5"/>
        <v>0.004400622702093638</v>
      </c>
      <c r="J59" s="22">
        <f t="shared" si="8"/>
        <v>0.0013201868106280914</v>
      </c>
      <c r="K59" s="85">
        <f t="shared" si="9"/>
        <v>0.0034555671677140125</v>
      </c>
      <c r="O59" s="78"/>
    </row>
    <row r="60" spans="1:15" ht="15">
      <c r="A60" s="18" t="s">
        <v>291</v>
      </c>
      <c r="B60" s="32">
        <v>56</v>
      </c>
      <c r="C60" s="61" t="s">
        <v>151</v>
      </c>
      <c r="D60" s="20">
        <f>'Participaciones  Tabla I'!D60</f>
        <v>33854</v>
      </c>
      <c r="E60" s="30">
        <f t="shared" si="6"/>
        <v>0.01458659536093357</v>
      </c>
      <c r="F60" s="30">
        <f t="shared" si="7"/>
        <v>0.010210616752653499</v>
      </c>
      <c r="G60" s="23">
        <f>'Participaciones  Tabla I'!Y60</f>
        <v>53.4986471068607</v>
      </c>
      <c r="H60" s="20">
        <f t="shared" si="4"/>
        <v>49819.444202935534</v>
      </c>
      <c r="I60" s="22">
        <f t="shared" si="5"/>
        <v>0.021574395265580977</v>
      </c>
      <c r="J60" s="22">
        <f t="shared" si="8"/>
        <v>0.006472318579674293</v>
      </c>
      <c r="K60" s="85">
        <f t="shared" si="9"/>
        <v>0.016682935332327793</v>
      </c>
      <c r="O60" s="78"/>
    </row>
    <row r="61" spans="1:15" ht="15">
      <c r="A61" s="18" t="s">
        <v>367</v>
      </c>
      <c r="B61" s="32">
        <v>57</v>
      </c>
      <c r="C61" s="61" t="s">
        <v>150</v>
      </c>
      <c r="D61" s="20">
        <f>'Participaciones  Tabla I'!D61</f>
        <v>7766</v>
      </c>
      <c r="E61" s="30">
        <f t="shared" si="6"/>
        <v>0.0033461186144328617</v>
      </c>
      <c r="F61" s="30">
        <f t="shared" si="7"/>
        <v>0.002342283030103003</v>
      </c>
      <c r="G61" s="23">
        <f>'Participaciones  Tabla I'!Y61</f>
        <v>54.5529252086478</v>
      </c>
      <c r="H61" s="20">
        <f t="shared" si="4"/>
        <v>10236.318699995747</v>
      </c>
      <c r="I61" s="22">
        <f t="shared" si="5"/>
        <v>0.004432855268288068</v>
      </c>
      <c r="J61" s="22">
        <f t="shared" si="8"/>
        <v>0.0013298565804864204</v>
      </c>
      <c r="K61" s="85">
        <f t="shared" si="9"/>
        <v>0.0036721396105894233</v>
      </c>
      <c r="O61" s="78"/>
    </row>
    <row r="62" spans="1:15" ht="15">
      <c r="A62" s="18" t="s">
        <v>293</v>
      </c>
      <c r="B62" s="32">
        <v>58</v>
      </c>
      <c r="C62" s="61" t="s">
        <v>149</v>
      </c>
      <c r="D62" s="20">
        <f>'Participaciones  Tabla I'!D62</f>
        <v>25954</v>
      </c>
      <c r="E62" s="30">
        <f t="shared" si="6"/>
        <v>0.011182740473730426</v>
      </c>
      <c r="F62" s="30">
        <f t="shared" si="7"/>
        <v>0.007827918331611299</v>
      </c>
      <c r="G62" s="23">
        <f>'Participaciones  Tabla I'!Y62</f>
        <v>53.4322397498304</v>
      </c>
      <c r="H62" s="20">
        <f t="shared" si="4"/>
        <v>38444.77497199045</v>
      </c>
      <c r="I62" s="22">
        <f t="shared" si="5"/>
        <v>0.01664857535871836</v>
      </c>
      <c r="J62" s="22">
        <f t="shared" si="8"/>
        <v>0.0049945726076155075</v>
      </c>
      <c r="K62" s="85">
        <f t="shared" si="9"/>
        <v>0.012822490939226806</v>
      </c>
      <c r="O62" s="78"/>
    </row>
    <row r="63" spans="1:15" ht="15">
      <c r="A63" s="18" t="s">
        <v>294</v>
      </c>
      <c r="B63" s="32">
        <v>59</v>
      </c>
      <c r="C63" s="62" t="s">
        <v>148</v>
      </c>
      <c r="D63" s="20">
        <f>'Participaciones  Tabla I'!D63</f>
        <v>66008</v>
      </c>
      <c r="E63" s="30">
        <f t="shared" si="6"/>
        <v>0.0284407156195576</v>
      </c>
      <c r="F63" s="30">
        <f t="shared" si="7"/>
        <v>0.01990850093369032</v>
      </c>
      <c r="G63" s="23">
        <f>'Participaciones  Tabla I'!Y63</f>
        <v>57.6372012213706</v>
      </c>
      <c r="H63" s="20">
        <f t="shared" si="4"/>
        <v>57362.5033311343</v>
      </c>
      <c r="I63" s="22">
        <f t="shared" si="5"/>
        <v>0.024840929883681348</v>
      </c>
      <c r="J63" s="22">
        <f t="shared" si="8"/>
        <v>0.007452278965104404</v>
      </c>
      <c r="K63" s="85">
        <f t="shared" si="9"/>
        <v>0.02736077989879472</v>
      </c>
      <c r="O63" s="78"/>
    </row>
    <row r="64" spans="1:15" ht="15">
      <c r="A64" s="18" t="s">
        <v>295</v>
      </c>
      <c r="B64" s="32">
        <v>60</v>
      </c>
      <c r="C64" s="61" t="s">
        <v>147</v>
      </c>
      <c r="D64" s="20">
        <f>'Participaciones  Tabla I'!D64</f>
        <v>976</v>
      </c>
      <c r="E64" s="30">
        <f t="shared" si="6"/>
        <v>4.205268822671225E-4</v>
      </c>
      <c r="F64" s="30">
        <f t="shared" si="7"/>
        <v>2.9436881758698573E-4</v>
      </c>
      <c r="G64" s="23">
        <f>'Participaciones  Tabla I'!Y64</f>
        <v>53.3604242980965</v>
      </c>
      <c r="H64" s="20">
        <f t="shared" si="4"/>
        <v>1455.9208888644173</v>
      </c>
      <c r="I64" s="22">
        <f t="shared" si="5"/>
        <v>6.304890235994666E-4</v>
      </c>
      <c r="J64" s="22">
        <f t="shared" si="8"/>
        <v>1.8914670707983997E-4</v>
      </c>
      <c r="K64" s="85">
        <f t="shared" si="9"/>
        <v>4.835155246668257E-4</v>
      </c>
      <c r="O64" s="78"/>
    </row>
    <row r="65" spans="1:15" ht="15">
      <c r="A65" s="18" t="s">
        <v>368</v>
      </c>
      <c r="B65" s="32">
        <v>61</v>
      </c>
      <c r="C65" s="61" t="s">
        <v>146</v>
      </c>
      <c r="D65" s="20">
        <f>'Participaciones  Tabla I'!D65</f>
        <v>3974</v>
      </c>
      <c r="E65" s="30">
        <f t="shared" si="6"/>
        <v>0.0017122682685753532</v>
      </c>
      <c r="F65" s="30">
        <f t="shared" si="7"/>
        <v>0.0011985877880027471</v>
      </c>
      <c r="G65" s="23">
        <f>'Participaciones  Tabla I'!Y65</f>
        <v>54.1858680286034</v>
      </c>
      <c r="H65" s="20">
        <f t="shared" si="4"/>
        <v>5450.490482150455</v>
      </c>
      <c r="I65" s="22">
        <f t="shared" si="5"/>
        <v>0.002360344197622985</v>
      </c>
      <c r="J65" s="22">
        <f t="shared" si="8"/>
        <v>7.081032592868955E-4</v>
      </c>
      <c r="K65" s="85">
        <f t="shared" si="9"/>
        <v>0.0019066910472896425</v>
      </c>
      <c r="O65" s="78"/>
    </row>
    <row r="66" spans="1:15" ht="15">
      <c r="A66" s="18" t="s">
        <v>297</v>
      </c>
      <c r="B66" s="32">
        <v>62</v>
      </c>
      <c r="C66" s="61" t="s">
        <v>145</v>
      </c>
      <c r="D66" s="20">
        <f>'Participaciones  Tabla I'!D66</f>
        <v>4962</v>
      </c>
      <c r="E66" s="30">
        <f t="shared" si="6"/>
        <v>0.0021379655633293666</v>
      </c>
      <c r="F66" s="30">
        <f t="shared" si="7"/>
        <v>0.0014965758943305564</v>
      </c>
      <c r="G66" s="23">
        <f>'Participaciones  Tabla I'!Y66</f>
        <v>53.8611209868849</v>
      </c>
      <c r="H66" s="20">
        <f t="shared" si="4"/>
        <v>7040.188731744027</v>
      </c>
      <c r="I66" s="22">
        <f t="shared" si="5"/>
        <v>0.0030487657354070826</v>
      </c>
      <c r="J66" s="22">
        <f t="shared" si="8"/>
        <v>9.146297206221247E-4</v>
      </c>
      <c r="K66" s="85">
        <f t="shared" si="9"/>
        <v>0.0024112056149526813</v>
      </c>
      <c r="O66" s="78"/>
    </row>
    <row r="67" spans="1:15" ht="15">
      <c r="A67" s="18" t="s">
        <v>298</v>
      </c>
      <c r="B67" s="32">
        <v>63</v>
      </c>
      <c r="C67" s="61" t="s">
        <v>144</v>
      </c>
      <c r="D67" s="20">
        <f>'Participaciones  Tabla I'!D67</f>
        <v>5631</v>
      </c>
      <c r="E67" s="30">
        <f t="shared" si="6"/>
        <v>0.0024262160594735313</v>
      </c>
      <c r="F67" s="30">
        <f t="shared" si="7"/>
        <v>0.0016983512416314718</v>
      </c>
      <c r="G67" s="23">
        <f>'Participaciones  Tabla I'!Y67</f>
        <v>53.7658150156367</v>
      </c>
      <c r="H67" s="20">
        <f t="shared" si="4"/>
        <v>8067.518686195876</v>
      </c>
      <c r="I67" s="22">
        <f t="shared" si="5"/>
        <v>0.0034936527240140235</v>
      </c>
      <c r="J67" s="22">
        <f t="shared" si="8"/>
        <v>0.001048095817204207</v>
      </c>
      <c r="K67" s="85">
        <f t="shared" si="9"/>
        <v>0.002746447058835679</v>
      </c>
      <c r="O67" s="78"/>
    </row>
    <row r="68" spans="1:15" ht="15">
      <c r="A68" s="18" t="s">
        <v>299</v>
      </c>
      <c r="B68" s="32">
        <v>64</v>
      </c>
      <c r="C68" s="61" t="s">
        <v>143</v>
      </c>
      <c r="D68" s="20">
        <f>'Participaciones  Tabla I'!D68</f>
        <v>1701</v>
      </c>
      <c r="E68" s="30">
        <f t="shared" si="6"/>
        <v>7.32905970016778E-4</v>
      </c>
      <c r="F68" s="30">
        <f t="shared" si="7"/>
        <v>5.130341790117445E-4</v>
      </c>
      <c r="G68" s="23">
        <f>'Participaciones  Tabla I'!Y68</f>
        <v>53.8418070724091</v>
      </c>
      <c r="H68" s="20">
        <f t="shared" si="4"/>
        <v>2418.197546327555</v>
      </c>
      <c r="I68" s="22">
        <f t="shared" si="5"/>
        <v>0.0010472045710147571</v>
      </c>
      <c r="J68" s="22">
        <f t="shared" si="8"/>
        <v>3.141613713044271E-4</v>
      </c>
      <c r="K68" s="85">
        <f t="shared" si="9"/>
        <v>8.271955503161717E-4</v>
      </c>
      <c r="O68" s="78"/>
    </row>
    <row r="69" spans="1:15" ht="15">
      <c r="A69" s="18" t="s">
        <v>300</v>
      </c>
      <c r="B69" s="32">
        <v>65</v>
      </c>
      <c r="C69" s="61" t="s">
        <v>142</v>
      </c>
      <c r="D69" s="20">
        <f>'Participaciones  Tabla I'!D69</f>
        <v>2118</v>
      </c>
      <c r="E69" s="30">
        <f t="shared" si="10" ref="E69:E100">D69/$D$112</f>
        <v>9.12577803936235E-4</v>
      </c>
      <c r="F69" s="30">
        <f t="shared" si="11" ref="F69:F100">E69*0.7</f>
        <v>6.388044627553645E-4</v>
      </c>
      <c r="G69" s="23">
        <f>'Participaciones  Tabla I'!Y69</f>
        <v>55.8982553989578</v>
      </c>
      <c r="H69" s="20">
        <f t="shared" si="4"/>
        <v>2376.8492814650704</v>
      </c>
      <c r="I69" s="22">
        <f t="shared" si="5"/>
        <v>0.0010292986344078486</v>
      </c>
      <c r="J69" s="22">
        <f t="shared" si="12" ref="J69:J100">I69*0.3</f>
        <v>3.087895903223546E-4</v>
      </c>
      <c r="K69" s="85">
        <f t="shared" si="13" ref="K69:K100">+F69+J69</f>
        <v>9.47594053077719E-4</v>
      </c>
      <c r="O69" s="78"/>
    </row>
    <row r="70" spans="1:15" ht="15">
      <c r="A70" s="18" t="s">
        <v>301</v>
      </c>
      <c r="B70" s="32">
        <v>66</v>
      </c>
      <c r="C70" s="61" t="s">
        <v>141</v>
      </c>
      <c r="D70" s="20">
        <f>'Participaciones  Tabla I'!D70</f>
        <v>4220</v>
      </c>
      <c r="E70" s="30">
        <f t="shared" si="10"/>
        <v>0.0018182617245566155</v>
      </c>
      <c r="F70" s="30">
        <f t="shared" si="11"/>
        <v>0.0012727832071896307</v>
      </c>
      <c r="G70" s="23">
        <f>'Participaciones  Tabla I'!Y70</f>
        <v>51.8906868964079</v>
      </c>
      <c r="H70" s="20">
        <f t="shared" si="14" ref="H70:H110">D70*(9.261-0.1456*G70)</f>
        <v>7198.121468866298</v>
      </c>
      <c r="I70" s="22">
        <f t="shared" si="15" ref="I70:I110">H70/$H$112</f>
        <v>0.003117158776529171</v>
      </c>
      <c r="J70" s="22">
        <f t="shared" si="12"/>
        <v>9.351476329587513E-4</v>
      </c>
      <c r="K70" s="85">
        <f t="shared" si="13"/>
        <v>0.0022079308401483817</v>
      </c>
      <c r="O70" s="78"/>
    </row>
    <row r="71" spans="1:15" ht="15">
      <c r="A71" s="18" t="s">
        <v>369</v>
      </c>
      <c r="B71" s="32">
        <v>67</v>
      </c>
      <c r="C71" s="61" t="s">
        <v>140</v>
      </c>
      <c r="D71" s="20">
        <f>'Participaciones  Tabla I'!D71</f>
        <v>10053</v>
      </c>
      <c r="E71" s="30">
        <f t="shared" si="10"/>
        <v>0.004331513060892809</v>
      </c>
      <c r="F71" s="30">
        <f t="shared" si="11"/>
        <v>0.0030320591426249662</v>
      </c>
      <c r="G71" s="23">
        <f>'Participaciones  Tabla I'!Y71</f>
        <v>55.445318645897</v>
      </c>
      <c r="H71" s="20">
        <f t="shared" si="14"/>
        <v>11944.588616647296</v>
      </c>
      <c r="I71" s="22">
        <f t="shared" si="15"/>
        <v>0.005172624468683322</v>
      </c>
      <c r="J71" s="22">
        <f t="shared" si="12"/>
        <v>0.0015517873406049965</v>
      </c>
      <c r="K71" s="85">
        <f t="shared" si="13"/>
        <v>0.004583846483229963</v>
      </c>
      <c r="O71" s="78"/>
    </row>
    <row r="72" spans="1:15" ht="15">
      <c r="A72" s="18" t="s">
        <v>370</v>
      </c>
      <c r="B72" s="32">
        <v>68</v>
      </c>
      <c r="C72" s="61" t="s">
        <v>139</v>
      </c>
      <c r="D72" s="20">
        <f>'Participaciones  Tabla I'!D72</f>
        <v>3206</v>
      </c>
      <c r="E72" s="30">
        <f t="shared" si="10"/>
        <v>0.0013813618694143387</v>
      </c>
      <c r="F72" s="30">
        <f t="shared" si="11"/>
        <v>9.66953308590037E-4</v>
      </c>
      <c r="G72" s="23">
        <f>'Participaciones  Tabla I'!Y72</f>
        <v>54.3185875212958</v>
      </c>
      <c r="H72" s="20">
        <f t="shared" si="14"/>
        <v>4335.196984019256</v>
      </c>
      <c r="I72" s="22">
        <f t="shared" si="15"/>
        <v>0.0018773644464278245</v>
      </c>
      <c r="J72" s="22">
        <f t="shared" si="12"/>
        <v>5.632093339283473E-4</v>
      </c>
      <c r="K72" s="85">
        <f t="shared" si="13"/>
        <v>0.0015301626425183843</v>
      </c>
      <c r="O72" s="78"/>
    </row>
    <row r="73" spans="1:15" ht="15">
      <c r="A73" s="18" t="s">
        <v>304</v>
      </c>
      <c r="B73" s="32">
        <v>69</v>
      </c>
      <c r="C73" s="61" t="s">
        <v>138</v>
      </c>
      <c r="D73" s="20">
        <f>'Participaciones  Tabla I'!D73</f>
        <v>8967</v>
      </c>
      <c r="E73" s="30">
        <f t="shared" si="10"/>
        <v>0.0038635907308291876</v>
      </c>
      <c r="F73" s="30">
        <f t="shared" si="11"/>
        <v>0.002704513511580431</v>
      </c>
      <c r="G73" s="23">
        <f>'Participaciones  Tabla I'!Y73</f>
        <v>52.1657962742296</v>
      </c>
      <c r="H73" s="20">
        <f t="shared" si="14"/>
        <v>14935.973780187944</v>
      </c>
      <c r="I73" s="22">
        <f t="shared" si="15"/>
        <v>0.0064680489147476514</v>
      </c>
      <c r="J73" s="22">
        <f t="shared" si="12"/>
        <v>0.0019404146744242954</v>
      </c>
      <c r="K73" s="85">
        <f t="shared" si="13"/>
        <v>0.004644928186004727</v>
      </c>
      <c r="O73" s="78"/>
    </row>
    <row r="74" spans="1:15" ht="15">
      <c r="A74" s="18" t="s">
        <v>371</v>
      </c>
      <c r="B74" s="32">
        <v>70</v>
      </c>
      <c r="C74" s="61" t="s">
        <v>137</v>
      </c>
      <c r="D74" s="20">
        <f>'Participaciones  Tabla I'!D74</f>
        <v>3971</v>
      </c>
      <c r="E74" s="30">
        <f t="shared" si="10"/>
        <v>0.0017109756654536303</v>
      </c>
      <c r="F74" s="30">
        <f t="shared" si="11"/>
        <v>0.0011976829658175412</v>
      </c>
      <c r="G74" s="23">
        <f>'Participaciones  Tabla I'!Y74</f>
        <v>54.5580867667941</v>
      </c>
      <c r="H74" s="20">
        <f t="shared" si="14"/>
        <v>5231.167332583224</v>
      </c>
      <c r="I74" s="22">
        <f t="shared" si="15"/>
        <v>0.0022653659337069708</v>
      </c>
      <c r="J74" s="22">
        <f t="shared" si="12"/>
        <v>6.796097801120912E-4</v>
      </c>
      <c r="K74" s="85">
        <f t="shared" si="13"/>
        <v>0.0018772927459296323</v>
      </c>
      <c r="O74" s="78"/>
    </row>
    <row r="75" spans="1:15" ht="15">
      <c r="A75" s="18" t="s">
        <v>306</v>
      </c>
      <c r="B75" s="32">
        <v>71</v>
      </c>
      <c r="C75" s="61" t="s">
        <v>136</v>
      </c>
      <c r="D75" s="20">
        <f>'Participaciones  Tabla I'!D75</f>
        <v>1949</v>
      </c>
      <c r="E75" s="30">
        <f t="shared" si="10"/>
        <v>8.397611614125222E-4</v>
      </c>
      <c r="F75" s="30">
        <f t="shared" si="11"/>
        <v>5.878328129887655E-4</v>
      </c>
      <c r="G75" s="23">
        <f>'Participaciones  Tabla I'!Y75</f>
        <v>52.1308633542215</v>
      </c>
      <c r="H75" s="20">
        <f t="shared" si="14"/>
        <v>3256.2845301738025</v>
      </c>
      <c r="I75" s="22">
        <f t="shared" si="15"/>
        <v>0.0014101395684985732</v>
      </c>
      <c r="J75" s="22">
        <f t="shared" si="12"/>
        <v>4.2304187054957197E-4</v>
      </c>
      <c r="K75" s="85">
        <f t="shared" si="13"/>
        <v>0.0010108746835383376</v>
      </c>
      <c r="O75" s="78"/>
    </row>
    <row r="76" spans="1:15" ht="15">
      <c r="A76" s="18" t="s">
        <v>307</v>
      </c>
      <c r="B76" s="32">
        <v>72</v>
      </c>
      <c r="C76" s="62" t="s">
        <v>135</v>
      </c>
      <c r="D76" s="20">
        <f>'Participaciones  Tabla I'!D76</f>
        <v>1857</v>
      </c>
      <c r="E76" s="30">
        <f t="shared" si="10"/>
        <v>8.001213323463591E-4</v>
      </c>
      <c r="F76" s="30">
        <f t="shared" si="11"/>
        <v>5.600849326424513E-4</v>
      </c>
      <c r="G76" s="23">
        <f>'Participaciones  Tabla I'!Y76</f>
        <v>55.3705088828567</v>
      </c>
      <c r="H76" s="20">
        <f t="shared" si="14"/>
        <v>2226.6431046603093</v>
      </c>
      <c r="I76" s="22">
        <f t="shared" si="15"/>
        <v>9.642515934068029E-4</v>
      </c>
      <c r="J76" s="22">
        <f t="shared" si="12"/>
        <v>2.8927547802204087E-4</v>
      </c>
      <c r="K76" s="85">
        <f t="shared" si="13"/>
        <v>8.493604106644922E-4</v>
      </c>
      <c r="O76" s="78"/>
    </row>
    <row r="77" spans="1:15" ht="15">
      <c r="A77" s="18" t="s">
        <v>372</v>
      </c>
      <c r="B77" s="32">
        <v>73</v>
      </c>
      <c r="C77" s="61" t="s">
        <v>134</v>
      </c>
      <c r="D77" s="20">
        <f>'Participaciones  Tabla I'!D77</f>
        <v>5854</v>
      </c>
      <c r="E77" s="30">
        <f t="shared" si="10"/>
        <v>0.002522299558188253</v>
      </c>
      <c r="F77" s="30">
        <f t="shared" si="11"/>
        <v>0.001765609690731777</v>
      </c>
      <c r="G77" s="23">
        <f>'Participaciones  Tabla I'!Y77</f>
        <v>49.4453324912743</v>
      </c>
      <c r="H77" s="20">
        <f t="shared" si="14"/>
        <v>12069.54063558928</v>
      </c>
      <c r="I77" s="22">
        <f t="shared" si="15"/>
        <v>0.005226735153557801</v>
      </c>
      <c r="J77" s="22">
        <f t="shared" si="12"/>
        <v>0.0015680205460673403</v>
      </c>
      <c r="K77" s="85">
        <f t="shared" si="13"/>
        <v>0.0033336302367991174</v>
      </c>
      <c r="O77" s="78"/>
    </row>
    <row r="78" spans="1:15" ht="15">
      <c r="A78" s="18" t="s">
        <v>309</v>
      </c>
      <c r="B78" s="32">
        <v>74</v>
      </c>
      <c r="C78" s="61" t="s">
        <v>133</v>
      </c>
      <c r="D78" s="20">
        <f>'Participaciones  Tabla I'!D78</f>
        <v>3774</v>
      </c>
      <c r="E78" s="30">
        <f t="shared" si="10"/>
        <v>0.0016260947271271723</v>
      </c>
      <c r="F78" s="30">
        <f t="shared" si="11"/>
        <v>0.0011382663089890205</v>
      </c>
      <c r="G78" s="23">
        <f>'Participaciones  Tabla I'!Y78</f>
        <v>53.4107347662162</v>
      </c>
      <c r="H78" s="20">
        <f t="shared" si="14"/>
        <v>5602.114346078884</v>
      </c>
      <c r="I78" s="22">
        <f t="shared" si="15"/>
        <v>0.002426005170450415</v>
      </c>
      <c r="J78" s="22">
        <f t="shared" si="12"/>
        <v>7.278015511351244E-4</v>
      </c>
      <c r="K78" s="85">
        <f t="shared" si="13"/>
        <v>0.001866067860124145</v>
      </c>
      <c r="O78" s="78"/>
    </row>
    <row r="79" spans="1:15" ht="15">
      <c r="A79" s="18" t="s">
        <v>310</v>
      </c>
      <c r="B79" s="32">
        <v>75</v>
      </c>
      <c r="C79" s="61" t="s">
        <v>132</v>
      </c>
      <c r="D79" s="20">
        <f>'Participaciones  Tabla I'!D79</f>
        <v>6921</v>
      </c>
      <c r="E79" s="30">
        <f t="shared" si="10"/>
        <v>0.0029820354018142976</v>
      </c>
      <c r="F79" s="30">
        <f t="shared" si="11"/>
        <v>0.0020874247812700084</v>
      </c>
      <c r="G79" s="23">
        <f>'Participaciones  Tabla I'!Y79</f>
        <v>50.657433654324</v>
      </c>
      <c r="H79" s="20">
        <f t="shared" si="14"/>
        <v>13048.006684378468</v>
      </c>
      <c r="I79" s="22">
        <f t="shared" si="15"/>
        <v>0.005650461544493437</v>
      </c>
      <c r="J79" s="22">
        <f t="shared" si="12"/>
        <v>0.001695138463348031</v>
      </c>
      <c r="K79" s="85">
        <f t="shared" si="13"/>
        <v>0.0037825632446180394</v>
      </c>
      <c r="O79" s="78"/>
    </row>
    <row r="80" spans="1:15" ht="15">
      <c r="A80" s="18" t="s">
        <v>311</v>
      </c>
      <c r="B80" s="32">
        <v>76</v>
      </c>
      <c r="C80" s="62" t="s">
        <v>131</v>
      </c>
      <c r="D80" s="20">
        <f>'Participaciones  Tabla I'!D80</f>
        <v>17939</v>
      </c>
      <c r="E80" s="30">
        <f t="shared" si="10"/>
        <v>0.00772933580019458</v>
      </c>
      <c r="F80" s="30">
        <f t="shared" si="11"/>
        <v>0.005410535060136206</v>
      </c>
      <c r="G80" s="23">
        <f>'Participaciones  Tabla I'!Y80</f>
        <v>52.9894936634856</v>
      </c>
      <c r="H80" s="20">
        <f t="shared" si="14"/>
        <v>27728.845493658544</v>
      </c>
      <c r="I80" s="22">
        <f t="shared" si="15"/>
        <v>0.0120080238250262</v>
      </c>
      <c r="J80" s="22">
        <f t="shared" si="12"/>
        <v>0.00360240714750786</v>
      </c>
      <c r="K80" s="85">
        <f t="shared" si="13"/>
        <v>0.009012942207644066</v>
      </c>
      <c r="O80" s="78"/>
    </row>
    <row r="81" spans="1:15" ht="15">
      <c r="A81" s="18" t="s">
        <v>312</v>
      </c>
      <c r="B81" s="32">
        <v>77</v>
      </c>
      <c r="C81" s="62" t="s">
        <v>130</v>
      </c>
      <c r="D81" s="20">
        <f>'Participaciones  Tabla I'!D81</f>
        <v>2683</v>
      </c>
      <c r="E81" s="30">
        <f t="shared" si="10"/>
        <v>0.001156018058527346</v>
      </c>
      <c r="F81" s="30">
        <f t="shared" si="11"/>
        <v>8.092126409691421E-4</v>
      </c>
      <c r="G81" s="23">
        <f>'Participaciones  Tabla I'!Y81</f>
        <v>50.6677580363417</v>
      </c>
      <c r="H81" s="20">
        <f t="shared" si="14"/>
        <v>5054.1667954449</v>
      </c>
      <c r="I81" s="22">
        <f t="shared" si="15"/>
        <v>0.002188715549272988</v>
      </c>
      <c r="J81" s="22">
        <f t="shared" si="12"/>
        <v>6.566146647818964E-4</v>
      </c>
      <c r="K81" s="85">
        <f t="shared" si="13"/>
        <v>0.0014658273057510385</v>
      </c>
      <c r="O81" s="78"/>
    </row>
    <row r="82" spans="1:15" ht="15">
      <c r="A82" s="18" t="s">
        <v>373</v>
      </c>
      <c r="B82" s="32">
        <v>78</v>
      </c>
      <c r="C82" s="61" t="s">
        <v>129</v>
      </c>
      <c r="D82" s="20">
        <f>'Participaciones  Tabla I'!D82</f>
        <v>3747</v>
      </c>
      <c r="E82" s="30">
        <f t="shared" si="10"/>
        <v>0.001614461299031668</v>
      </c>
      <c r="F82" s="30">
        <f t="shared" si="11"/>
        <v>0.0011301229093221674</v>
      </c>
      <c r="G82" s="23">
        <f>'Participaciones  Tabla I'!Y82</f>
        <v>52.699620408264</v>
      </c>
      <c r="H82" s="20">
        <f t="shared" si="14"/>
        <v>5949.993451282179</v>
      </c>
      <c r="I82" s="22">
        <f t="shared" si="15"/>
        <v>0.0025766548101718123</v>
      </c>
      <c r="J82" s="22">
        <f t="shared" si="12"/>
        <v>7.729964430515437E-4</v>
      </c>
      <c r="K82" s="85">
        <f t="shared" si="13"/>
        <v>0.001903119352373711</v>
      </c>
      <c r="O82" s="78"/>
    </row>
    <row r="83" spans="1:15" ht="15">
      <c r="A83" s="18" t="s">
        <v>314</v>
      </c>
      <c r="B83" s="32">
        <v>79</v>
      </c>
      <c r="C83" s="61" t="s">
        <v>128</v>
      </c>
      <c r="D83" s="20">
        <f>'Participaciones  Tabla I'!D83</f>
        <v>45062</v>
      </c>
      <c r="E83" s="30">
        <f t="shared" si="10"/>
        <v>0.019415760623689625</v>
      </c>
      <c r="F83" s="30">
        <f t="shared" si="11"/>
        <v>0.013591032436582736</v>
      </c>
      <c r="G83" s="23">
        <f>'Participaciones  Tabla I'!Y83</f>
        <v>53.7973245706733</v>
      </c>
      <c r="H83" s="20">
        <f t="shared" si="14"/>
        <v>64353.472204584126</v>
      </c>
      <c r="I83" s="22">
        <f t="shared" si="15"/>
        <v>0.02786838087552306</v>
      </c>
      <c r="J83" s="22">
        <f t="shared" si="12"/>
        <v>0.008360514262656916</v>
      </c>
      <c r="K83" s="85">
        <f t="shared" si="13"/>
        <v>0.021951546699239655</v>
      </c>
      <c r="O83" s="78"/>
    </row>
    <row r="84" spans="1:15" ht="15">
      <c r="A84" s="18" t="s">
        <v>315</v>
      </c>
      <c r="B84" s="32">
        <v>80</v>
      </c>
      <c r="C84" s="61" t="s">
        <v>127</v>
      </c>
      <c r="D84" s="20">
        <f>'Participaciones  Tabla I'!D84</f>
        <v>11020</v>
      </c>
      <c r="E84" s="30">
        <f t="shared" si="10"/>
        <v>0.004748162133794764</v>
      </c>
      <c r="F84" s="30">
        <f t="shared" si="11"/>
        <v>0.0033237134936563344</v>
      </c>
      <c r="G84" s="23">
        <f>'Participaciones  Tabla I'!Y84</f>
        <v>54.1478164371423</v>
      </c>
      <c r="H84" s="20">
        <f t="shared" si="14"/>
        <v>15175.398752807914</v>
      </c>
      <c r="I84" s="22">
        <f t="shared" si="15"/>
        <v>0.006571732307414842</v>
      </c>
      <c r="J84" s="22">
        <f t="shared" si="12"/>
        <v>0.0019715196922244524</v>
      </c>
      <c r="K84" s="85">
        <f t="shared" si="13"/>
        <v>0.005295233185880786</v>
      </c>
      <c r="O84" s="78"/>
    </row>
    <row r="85" spans="1:15" ht="15">
      <c r="A85" s="18" t="s">
        <v>316</v>
      </c>
      <c r="B85" s="32">
        <v>81</v>
      </c>
      <c r="C85" s="61" t="s">
        <v>126</v>
      </c>
      <c r="D85" s="20">
        <f>'Participaciones  Tabla I'!D85</f>
        <v>3355</v>
      </c>
      <c r="E85" s="30">
        <f t="shared" si="10"/>
        <v>0.0014455611577932335</v>
      </c>
      <c r="F85" s="30">
        <f t="shared" si="11"/>
        <v>0.0010118928104552634</v>
      </c>
      <c r="G85" s="23">
        <f>'Participaciones  Tabla I'!Y85</f>
        <v>50.9301522867029</v>
      </c>
      <c r="H85" s="20">
        <f t="shared" si="14"/>
        <v>6191.88676977307</v>
      </c>
      <c r="I85" s="22">
        <f t="shared" si="15"/>
        <v>0.002681407124227497</v>
      </c>
      <c r="J85" s="22">
        <f t="shared" si="12"/>
        <v>8.044221372682491E-4</v>
      </c>
      <c r="K85" s="85">
        <f t="shared" si="13"/>
        <v>0.0018163149477235124</v>
      </c>
      <c r="O85" s="78"/>
    </row>
    <row r="86" spans="1:15" ht="15">
      <c r="A86" s="18" t="s">
        <v>317</v>
      </c>
      <c r="B86" s="32">
        <v>82</v>
      </c>
      <c r="C86" s="61" t="s">
        <v>125</v>
      </c>
      <c r="D86" s="20">
        <f>'Participaciones  Tabla I'!D86</f>
        <v>3512</v>
      </c>
      <c r="E86" s="30">
        <f t="shared" si="10"/>
        <v>0.0015132073878300555</v>
      </c>
      <c r="F86" s="30">
        <f t="shared" si="11"/>
        <v>0.001059245171481039</v>
      </c>
      <c r="G86" s="23">
        <f>'Participaciones  Tabla I'!Y86</f>
        <v>55.3705998474218</v>
      </c>
      <c r="H86" s="20">
        <f t="shared" si="14"/>
        <v>4211.030805700431</v>
      </c>
      <c r="I86" s="22">
        <f t="shared" si="15"/>
        <v>0.0018235940711752421</v>
      </c>
      <c r="J86" s="22">
        <f t="shared" si="12"/>
        <v>5.470782213525727E-4</v>
      </c>
      <c r="K86" s="85">
        <f t="shared" si="13"/>
        <v>0.0016063233928336116</v>
      </c>
      <c r="O86" s="78"/>
    </row>
    <row r="87" spans="1:15" ht="15">
      <c r="A87" s="18" t="s">
        <v>318</v>
      </c>
      <c r="B87" s="32">
        <v>83</v>
      </c>
      <c r="C87" s="62" t="s">
        <v>124</v>
      </c>
      <c r="D87" s="20">
        <f>'Participaciones  Tabla I'!D87</f>
        <v>1915</v>
      </c>
      <c r="E87" s="30">
        <f t="shared" si="10"/>
        <v>8.251116593663315E-4</v>
      </c>
      <c r="F87" s="30">
        <f t="shared" si="11"/>
        <v>5.77578161556432E-4</v>
      </c>
      <c r="G87" s="23">
        <f>'Participaciones  Tabla I'!Y87</f>
        <v>55.268992057507</v>
      </c>
      <c r="H87" s="20">
        <f t="shared" si="14"/>
        <v>2324.493558557667</v>
      </c>
      <c r="I87" s="22">
        <f t="shared" si="15"/>
        <v>0.001006625899324365</v>
      </c>
      <c r="J87" s="22">
        <f t="shared" si="12"/>
        <v>3.019877697973095E-4</v>
      </c>
      <c r="K87" s="85">
        <f t="shared" si="13"/>
        <v>8.795659313537414E-4</v>
      </c>
      <c r="O87" s="78"/>
    </row>
    <row r="88" spans="1:15" ht="15">
      <c r="A88" s="18" t="s">
        <v>319</v>
      </c>
      <c r="B88" s="32">
        <v>84</v>
      </c>
      <c r="C88" s="61" t="s">
        <v>123</v>
      </c>
      <c r="D88" s="20">
        <f>'Participaciones  Tabla I'!D88</f>
        <v>7037</v>
      </c>
      <c r="E88" s="30">
        <f t="shared" si="10"/>
        <v>0.0030320160558542425</v>
      </c>
      <c r="F88" s="30">
        <f t="shared" si="11"/>
        <v>0.0021224112390979696</v>
      </c>
      <c r="G88" s="23">
        <f>'Participaciones  Tabla I'!Y88</f>
        <v>53.2971545292461</v>
      </c>
      <c r="H88" s="20">
        <f t="shared" si="14"/>
        <v>10562.074672912411</v>
      </c>
      <c r="I88" s="22">
        <f t="shared" si="15"/>
        <v>0.0045739244478477615</v>
      </c>
      <c r="J88" s="22">
        <f t="shared" si="12"/>
        <v>0.0013721773343543283</v>
      </c>
      <c r="K88" s="85">
        <f t="shared" si="13"/>
        <v>0.0034945885734522977</v>
      </c>
      <c r="O88" s="78"/>
    </row>
    <row r="89" spans="1:15" ht="15">
      <c r="A89" s="18" t="s">
        <v>374</v>
      </c>
      <c r="B89" s="32">
        <v>85</v>
      </c>
      <c r="C89" s="61" t="s">
        <v>122</v>
      </c>
      <c r="D89" s="20">
        <f>'Participaciones  Tabla I'!D89</f>
        <v>16680</v>
      </c>
      <c r="E89" s="30">
        <f t="shared" si="10"/>
        <v>0.007186873356778281</v>
      </c>
      <c r="F89" s="30">
        <f t="shared" si="11"/>
        <v>0.005030811349744797</v>
      </c>
      <c r="G89" s="23">
        <f>'Participaciones  Tabla I'!Y89</f>
        <v>51.7476566748206</v>
      </c>
      <c r="H89" s="20">
        <f t="shared" si="14"/>
        <v>28798.707018277284</v>
      </c>
      <c r="I89" s="22">
        <f t="shared" si="15"/>
        <v>0.012471329182619926</v>
      </c>
      <c r="J89" s="22">
        <f t="shared" si="12"/>
        <v>0.0037413987547859776</v>
      </c>
      <c r="K89" s="85">
        <f t="shared" si="13"/>
        <v>0.008772210104530775</v>
      </c>
      <c r="O89" s="78"/>
    </row>
    <row r="90" spans="1:15" ht="15">
      <c r="A90" s="18" t="s">
        <v>375</v>
      </c>
      <c r="B90" s="32">
        <v>86</v>
      </c>
      <c r="C90" s="61" t="s">
        <v>121</v>
      </c>
      <c r="D90" s="20">
        <f>'Participaciones  Tabla I'!D90</f>
        <v>2133</v>
      </c>
      <c r="E90" s="30">
        <f t="shared" si="10"/>
        <v>9.190408195448486E-4</v>
      </c>
      <c r="F90" s="30">
        <f t="shared" si="11"/>
        <v>6.43328573681394E-4</v>
      </c>
      <c r="G90" s="23">
        <f>'Participaciones  Tabla I'!Y90</f>
        <v>50.617111523905</v>
      </c>
      <c r="H90" s="20">
        <f t="shared" si="14"/>
        <v>4033.819883000745</v>
      </c>
      <c r="I90" s="22">
        <f t="shared" si="15"/>
        <v>0.0017468525789151564</v>
      </c>
      <c r="J90" s="22">
        <f t="shared" si="12"/>
        <v>5.240557736745469E-4</v>
      </c>
      <c r="K90" s="85">
        <f t="shared" si="13"/>
        <v>0.001167384347355941</v>
      </c>
      <c r="O90" s="78"/>
    </row>
    <row r="91" spans="1:15" ht="15">
      <c r="A91" s="18" t="s">
        <v>376</v>
      </c>
      <c r="B91" s="32">
        <v>87</v>
      </c>
      <c r="C91" s="61" t="s">
        <v>120</v>
      </c>
      <c r="D91" s="20">
        <f>'Participaciones  Tabla I'!D91</f>
        <v>5464</v>
      </c>
      <c r="E91" s="30">
        <f t="shared" si="10"/>
        <v>0.0023542611523643003</v>
      </c>
      <c r="F91" s="30">
        <f t="shared" si="11"/>
        <v>0.00164798280665501</v>
      </c>
      <c r="G91" s="23">
        <f>'Participaciones  Tabla I'!Y91</f>
        <v>51.1397437500784</v>
      </c>
      <c r="H91" s="20">
        <f t="shared" si="14"/>
        <v>9917.451285777623</v>
      </c>
      <c r="I91" s="22">
        <f t="shared" si="15"/>
        <v>0.00429476919081934</v>
      </c>
      <c r="J91" s="22">
        <f t="shared" si="12"/>
        <v>0.001288430757245802</v>
      </c>
      <c r="K91" s="85">
        <f t="shared" si="13"/>
        <v>0.002936413563900812</v>
      </c>
      <c r="O91" s="78"/>
    </row>
    <row r="92" spans="1:15" ht="15">
      <c r="A92" s="18" t="s">
        <v>323</v>
      </c>
      <c r="B92" s="32">
        <v>88</v>
      </c>
      <c r="C92" s="62" t="s">
        <v>119</v>
      </c>
      <c r="D92" s="20">
        <f>'Participaciones  Tabla I'!D92</f>
        <v>1917</v>
      </c>
      <c r="E92" s="30">
        <f t="shared" si="10"/>
        <v>8.259733947808133E-4</v>
      </c>
      <c r="F92" s="30">
        <f t="shared" si="11"/>
        <v>5.781813763465692E-4</v>
      </c>
      <c r="G92" s="23">
        <f>'Participaciones  Tabla I'!Y92</f>
        <v>52.5405473360637</v>
      </c>
      <c r="H92" s="20">
        <f t="shared" si="14"/>
        <v>3088.4716221851104</v>
      </c>
      <c r="I92" s="22">
        <f t="shared" si="15"/>
        <v>0.0013374679025348391</v>
      </c>
      <c r="J92" s="22">
        <f t="shared" si="12"/>
        <v>4.012403707604517E-4</v>
      </c>
      <c r="K92" s="85">
        <f t="shared" si="13"/>
        <v>9.79421747107021E-4</v>
      </c>
      <c r="O92" s="78"/>
    </row>
    <row r="93" spans="1:15" ht="15">
      <c r="A93" s="18" t="s">
        <v>324</v>
      </c>
      <c r="B93" s="32">
        <v>89</v>
      </c>
      <c r="C93" s="61" t="s">
        <v>118</v>
      </c>
      <c r="D93" s="20">
        <f>'Participaciones  Tabla I'!D93</f>
        <v>40495</v>
      </c>
      <c r="E93" s="30">
        <f t="shared" si="10"/>
        <v>0.017447987804720413</v>
      </c>
      <c r="F93" s="30">
        <f t="shared" si="11"/>
        <v>0.012213591463304288</v>
      </c>
      <c r="G93" s="23">
        <f>'Participaciones  Tabla I'!Y93</f>
        <v>56.0262301483597</v>
      </c>
      <c r="H93" s="20">
        <f t="shared" si="14"/>
        <v>44689.50815670045</v>
      </c>
      <c r="I93" s="22">
        <f t="shared" si="15"/>
        <v>0.01935286771304947</v>
      </c>
      <c r="J93" s="22">
        <f t="shared" si="12"/>
        <v>0.005805860313914841</v>
      </c>
      <c r="K93" s="85">
        <f t="shared" si="13"/>
        <v>0.018019451777219128</v>
      </c>
      <c r="O93" s="78"/>
    </row>
    <row r="94" spans="1:15" ht="15">
      <c r="A94" s="18" t="s">
        <v>325</v>
      </c>
      <c r="B94" s="32">
        <v>90</v>
      </c>
      <c r="C94" s="61" t="s">
        <v>117</v>
      </c>
      <c r="D94" s="20">
        <f>'Participaciones  Tabla I'!D94</f>
        <v>7503</v>
      </c>
      <c r="E94" s="30">
        <f t="shared" si="10"/>
        <v>0.0032328004074285038</v>
      </c>
      <c r="F94" s="30">
        <f t="shared" si="11"/>
        <v>0.0022629602851999527</v>
      </c>
      <c r="G94" s="23">
        <f>'Participaciones  Tabla I'!Y94</f>
        <v>51.8840725621149</v>
      </c>
      <c r="H94" s="20">
        <f t="shared" si="14"/>
        <v>12805.212799275389</v>
      </c>
      <c r="I94" s="22">
        <f t="shared" si="15"/>
        <v>0.0055453192385306735</v>
      </c>
      <c r="J94" s="22">
        <f t="shared" si="12"/>
        <v>0.001663595771559202</v>
      </c>
      <c r="K94" s="85">
        <f t="shared" si="13"/>
        <v>0.003926556056759155</v>
      </c>
      <c r="O94" s="78"/>
    </row>
    <row r="95" spans="1:15" ht="15">
      <c r="A95" s="18" t="s">
        <v>326</v>
      </c>
      <c r="B95" s="32">
        <v>91</v>
      </c>
      <c r="C95" s="61" t="s">
        <v>116</v>
      </c>
      <c r="D95" s="20">
        <f>'Participaciones  Tabla I'!D95</f>
        <v>12700</v>
      </c>
      <c r="E95" s="30">
        <f t="shared" si="10"/>
        <v>0.005472019881959483</v>
      </c>
      <c r="F95" s="30">
        <f t="shared" si="11"/>
        <v>0.003830413917371638</v>
      </c>
      <c r="G95" s="23">
        <f>'Participaciones  Tabla I'!Y95</f>
        <v>53.4527508801609</v>
      </c>
      <c r="H95" s="20">
        <f t="shared" si="14"/>
        <v>18774.149292476868</v>
      </c>
      <c r="I95" s="22">
        <f t="shared" si="15"/>
        <v>0.00813017736530784</v>
      </c>
      <c r="J95" s="22">
        <f t="shared" si="12"/>
        <v>0.0024390532095923518</v>
      </c>
      <c r="K95" s="85">
        <f t="shared" si="13"/>
        <v>0.00626946712696399</v>
      </c>
      <c r="O95" s="78"/>
    </row>
    <row r="96" spans="1:15" ht="15">
      <c r="A96" s="18" t="s">
        <v>327</v>
      </c>
      <c r="B96" s="32">
        <v>92</v>
      </c>
      <c r="C96" s="61" t="s">
        <v>115</v>
      </c>
      <c r="D96" s="20">
        <f>'Participaciones  Tabla I'!D96</f>
        <v>7888</v>
      </c>
      <c r="E96" s="30">
        <f t="shared" si="10"/>
        <v>0.003398684474716252</v>
      </c>
      <c r="F96" s="30">
        <f t="shared" si="11"/>
        <v>0.002379079132301376</v>
      </c>
      <c r="G96" s="23">
        <f>'Participaciones  Tabla I'!Y96</f>
        <v>48.9457723262077</v>
      </c>
      <c r="H96" s="20">
        <f t="shared" si="14"/>
        <v>16836.90089291119</v>
      </c>
      <c r="I96" s="22">
        <f t="shared" si="15"/>
        <v>0.007291248642426156</v>
      </c>
      <c r="J96" s="22">
        <f t="shared" si="12"/>
        <v>0.0021873745927278466</v>
      </c>
      <c r="K96" s="85">
        <f t="shared" si="13"/>
        <v>0.004566453725029222</v>
      </c>
      <c r="O96" s="78"/>
    </row>
    <row r="97" spans="1:15" ht="15">
      <c r="A97" s="18" t="s">
        <v>328</v>
      </c>
      <c r="B97" s="32">
        <v>93</v>
      </c>
      <c r="C97" s="61" t="s">
        <v>114</v>
      </c>
      <c r="D97" s="20">
        <f>'Participaciones  Tabla I'!D97</f>
        <v>18420</v>
      </c>
      <c r="E97" s="30">
        <f t="shared" si="10"/>
        <v>0.007936583167377454</v>
      </c>
      <c r="F97" s="30">
        <f t="shared" si="11"/>
        <v>0.005555608217164218</v>
      </c>
      <c r="G97" s="23">
        <f>'Participaciones  Tabla I'!Y97</f>
        <v>56.8232198029765</v>
      </c>
      <c r="H97" s="20">
        <f t="shared" si="14"/>
        <v>18190.47200296755</v>
      </c>
      <c r="I97" s="22">
        <f t="shared" si="15"/>
        <v>0.007877414919783108</v>
      </c>
      <c r="J97" s="22">
        <f t="shared" si="12"/>
        <v>0.0023632244759349322</v>
      </c>
      <c r="K97" s="85">
        <f t="shared" si="13"/>
        <v>0.00791883269309915</v>
      </c>
      <c r="O97" s="78"/>
    </row>
    <row r="98" spans="1:15" ht="15">
      <c r="A98" s="18" t="s">
        <v>377</v>
      </c>
      <c r="B98" s="32">
        <v>94</v>
      </c>
      <c r="C98" s="61" t="s">
        <v>113</v>
      </c>
      <c r="D98" s="20">
        <f>'Participaciones  Tabla I'!D98</f>
        <v>5444</v>
      </c>
      <c r="E98" s="30">
        <f t="shared" si="10"/>
        <v>0.0023456437982194824</v>
      </c>
      <c r="F98" s="30">
        <f t="shared" si="11"/>
        <v>0.0016419506587536377</v>
      </c>
      <c r="G98" s="23">
        <f>'Participaciones  Tabla I'!Y98</f>
        <v>50.5089680215383</v>
      </c>
      <c r="H98" s="20">
        <f t="shared" si="14"/>
        <v>10381.132330012535</v>
      </c>
      <c r="I98" s="22">
        <f t="shared" si="15"/>
        <v>0.004495567057707062</v>
      </c>
      <c r="J98" s="22">
        <f t="shared" si="12"/>
        <v>0.0013486701173121185</v>
      </c>
      <c r="K98" s="85">
        <f t="shared" si="13"/>
        <v>0.002990620776065756</v>
      </c>
      <c r="O98" s="78"/>
    </row>
    <row r="99" spans="1:15" ht="15">
      <c r="A99" s="18" t="s">
        <v>378</v>
      </c>
      <c r="B99" s="32">
        <v>95</v>
      </c>
      <c r="C99" s="61" t="s">
        <v>112</v>
      </c>
      <c r="D99" s="20">
        <f>'Participaciones  Tabla I'!D99</f>
        <v>5690</v>
      </c>
      <c r="E99" s="30">
        <f t="shared" si="10"/>
        <v>0.0024516372542007447</v>
      </c>
      <c r="F99" s="30">
        <f t="shared" si="11"/>
        <v>0.0017161460779405212</v>
      </c>
      <c r="G99" s="23">
        <f>'Participaciones  Tabla I'!Y99</f>
        <v>55.0001326669543</v>
      </c>
      <c r="H99" s="20">
        <f t="shared" si="14"/>
        <v>7129.460090204367</v>
      </c>
      <c r="I99" s="22">
        <f t="shared" si="15"/>
        <v>0.003087424849416332</v>
      </c>
      <c r="J99" s="22">
        <f t="shared" si="12"/>
        <v>9.262274548248996E-4</v>
      </c>
      <c r="K99" s="85">
        <f t="shared" si="13"/>
        <v>0.0026423735327654207</v>
      </c>
      <c r="O99" s="78"/>
    </row>
    <row r="100" spans="1:15" ht="15">
      <c r="A100" s="18" t="s">
        <v>379</v>
      </c>
      <c r="B100" s="32">
        <v>96</v>
      </c>
      <c r="C100" s="61" t="s">
        <v>111</v>
      </c>
      <c r="D100" s="20">
        <f>'Participaciones  Tabla I'!D100</f>
        <v>80672</v>
      </c>
      <c r="E100" s="30">
        <f t="shared" si="10"/>
        <v>0.03475895967853822</v>
      </c>
      <c r="F100" s="30">
        <f t="shared" si="11"/>
        <v>0.02433127177497675</v>
      </c>
      <c r="G100" s="23">
        <f>'Participaciones  Tabla I'!Y100</f>
        <v>53.4162083988111</v>
      </c>
      <c r="H100" s="20">
        <f t="shared" si="14"/>
        <v>119684.98380904166</v>
      </c>
      <c r="I100" s="22">
        <f t="shared" si="15"/>
        <v>0.05182978632866354</v>
      </c>
      <c r="J100" s="22">
        <f t="shared" si="12"/>
        <v>0.01554893589859906</v>
      </c>
      <c r="K100" s="85">
        <f t="shared" si="13"/>
        <v>0.03988020767357581</v>
      </c>
      <c r="O100" s="78"/>
    </row>
    <row r="101" spans="1:15" ht="15">
      <c r="A101" s="18" t="s">
        <v>380</v>
      </c>
      <c r="B101" s="32">
        <v>97</v>
      </c>
      <c r="C101" s="61" t="s">
        <v>110</v>
      </c>
      <c r="D101" s="20">
        <f>'Participaciones  Tabla I'!D101</f>
        <v>3684</v>
      </c>
      <c r="E101" s="30">
        <f t="shared" si="16" ref="E101:E110">D101/$D$112</f>
        <v>0.0015873166334754909</v>
      </c>
      <c r="F101" s="30">
        <f t="shared" si="17" ref="F101:F111">E101*0.7</f>
        <v>0.0011111216434328435</v>
      </c>
      <c r="G101" s="23">
        <f>'Participaciones  Tabla I'!Y101</f>
        <v>51.5400208621158</v>
      </c>
      <c r="H101" s="20">
        <f t="shared" si="14"/>
        <v>6471.951593761355</v>
      </c>
      <c r="I101" s="22">
        <f t="shared" si="15"/>
        <v>0.002802689673829939</v>
      </c>
      <c r="J101" s="22">
        <f t="shared" si="18" ref="J101:J111">I101*0.3</f>
        <v>8.408069021489816E-4</v>
      </c>
      <c r="K101" s="85">
        <f t="shared" si="19" ref="K101:K110">+F101+J101</f>
        <v>0.0019519285455818253</v>
      </c>
      <c r="O101" s="78"/>
    </row>
    <row r="102" spans="1:15" ht="15">
      <c r="A102" s="18" t="s">
        <v>333</v>
      </c>
      <c r="B102" s="32">
        <v>98</v>
      </c>
      <c r="C102" s="61" t="s">
        <v>109</v>
      </c>
      <c r="D102" s="20">
        <f>'Participaciones  Tabla I'!D102</f>
        <v>15346</v>
      </c>
      <c r="E102" s="30">
        <f t="shared" si="16"/>
        <v>0.006612095835318916</v>
      </c>
      <c r="F102" s="30">
        <f t="shared" si="17"/>
        <v>0.00462846708472324</v>
      </c>
      <c r="G102" s="23">
        <f>'Participaciones  Tabla I'!Y102</f>
        <v>53.404542909139</v>
      </c>
      <c r="H102" s="20">
        <f t="shared" si="14"/>
        <v>22793.39158558096</v>
      </c>
      <c r="I102" s="22">
        <f t="shared" si="15"/>
        <v>0.009870717094060141</v>
      </c>
      <c r="J102" s="22">
        <f t="shared" si="18"/>
        <v>0.002961215128218042</v>
      </c>
      <c r="K102" s="85">
        <f t="shared" si="19"/>
        <v>0.007589682212941283</v>
      </c>
      <c r="O102" s="78"/>
    </row>
    <row r="103" spans="1:15" ht="15">
      <c r="A103" s="18" t="s">
        <v>334</v>
      </c>
      <c r="B103" s="32">
        <v>99</v>
      </c>
      <c r="C103" s="61" t="s">
        <v>108</v>
      </c>
      <c r="D103" s="20">
        <f>'Participaciones  Tabla I'!D103</f>
        <v>4191</v>
      </c>
      <c r="E103" s="30">
        <f t="shared" si="16"/>
        <v>0.0018057665610466294</v>
      </c>
      <c r="F103" s="30">
        <f t="shared" si="17"/>
        <v>0.0012640365927326406</v>
      </c>
      <c r="G103" s="23">
        <f>'Participaciones  Tabla I'!Y103</f>
        <v>49.6852777840841</v>
      </c>
      <c r="H103" s="20">
        <f t="shared" si="14"/>
        <v>8494.417517485152</v>
      </c>
      <c r="I103" s="22">
        <f t="shared" si="15"/>
        <v>0.003678521990863586</v>
      </c>
      <c r="J103" s="22">
        <f t="shared" si="18"/>
        <v>0.0011035565972590759</v>
      </c>
      <c r="K103" s="85">
        <f t="shared" si="19"/>
        <v>0.0023675931899917162</v>
      </c>
      <c r="O103" s="78"/>
    </row>
    <row r="104" spans="1:15" ht="15">
      <c r="A104" s="18" t="s">
        <v>381</v>
      </c>
      <c r="B104" s="32">
        <v>100</v>
      </c>
      <c r="C104" s="61" t="s">
        <v>107</v>
      </c>
      <c r="D104" s="20">
        <f>'Participaciones  Tabla I'!D104</f>
        <v>4049</v>
      </c>
      <c r="E104" s="30">
        <f t="shared" si="16"/>
        <v>0.0017445833466184209</v>
      </c>
      <c r="F104" s="30">
        <f t="shared" si="17"/>
        <v>0.0012212083426328946</v>
      </c>
      <c r="G104" s="23">
        <f>'Participaciones  Tabla I'!Y104</f>
        <v>54.3792227958554</v>
      </c>
      <c r="H104" s="20">
        <f t="shared" si="14"/>
        <v>5439.366516579061</v>
      </c>
      <c r="I104" s="22">
        <f t="shared" si="15"/>
        <v>0.002355526945363398</v>
      </c>
      <c r="J104" s="22">
        <f t="shared" si="18"/>
        <v>7.066580836090193E-4</v>
      </c>
      <c r="K104" s="85">
        <f t="shared" si="19"/>
        <v>0.001927866426241914</v>
      </c>
      <c r="O104" s="78"/>
    </row>
    <row r="105" spans="1:15" ht="15">
      <c r="A105" s="18" t="s">
        <v>382</v>
      </c>
      <c r="B105" s="32">
        <v>101</v>
      </c>
      <c r="C105" s="61" t="s">
        <v>106</v>
      </c>
      <c r="D105" s="20">
        <f>'Participaciones  Tabla I'!D105</f>
        <v>69147</v>
      </c>
      <c r="E105" s="30">
        <f t="shared" si="16"/>
        <v>0.0297932093525868</v>
      </c>
      <c r="F105" s="30">
        <f t="shared" si="17"/>
        <v>0.02085524654681076</v>
      </c>
      <c r="G105" s="23">
        <f>'Participaciones  Tabla I'!Y105</f>
        <v>57.1401154036144</v>
      </c>
      <c r="H105" s="20">
        <f t="shared" si="14"/>
        <v>65094.93029112149</v>
      </c>
      <c r="I105" s="22">
        <f t="shared" si="15"/>
        <v>0.028189470564252982</v>
      </c>
      <c r="J105" s="22">
        <f t="shared" si="18"/>
        <v>0.008456841169275895</v>
      </c>
      <c r="K105" s="85">
        <f t="shared" si="19"/>
        <v>0.029312087716086656</v>
      </c>
      <c r="O105" s="78"/>
    </row>
    <row r="106" spans="1:15" ht="15">
      <c r="A106" s="18" t="s">
        <v>337</v>
      </c>
      <c r="B106" s="32">
        <v>102</v>
      </c>
      <c r="C106" s="61" t="s">
        <v>105</v>
      </c>
      <c r="D106" s="20">
        <f>'Participaciones  Tabla I'!D106</f>
        <v>85460</v>
      </c>
      <c r="E106" s="30">
        <f t="shared" si="16"/>
        <v>0.03682195426080767</v>
      </c>
      <c r="F106" s="30">
        <f t="shared" si="17"/>
        <v>0.02577536798256537</v>
      </c>
      <c r="G106" s="23">
        <f>'Participaciones  Tabla I'!Y106</f>
        <v>54.5170751115967</v>
      </c>
      <c r="H106" s="20">
        <f t="shared" si="14"/>
        <v>113090.40279620489</v>
      </c>
      <c r="I106" s="22">
        <f t="shared" si="15"/>
        <v>0.0489739917757919</v>
      </c>
      <c r="J106" s="22">
        <f t="shared" si="18"/>
        <v>0.014692197532737568</v>
      </c>
      <c r="K106" s="85">
        <f t="shared" si="19"/>
        <v>0.040467565515302936</v>
      </c>
      <c r="O106" s="78"/>
    </row>
    <row r="107" spans="1:15" ht="15">
      <c r="A107" s="18" t="s">
        <v>338</v>
      </c>
      <c r="B107" s="32">
        <v>103</v>
      </c>
      <c r="C107" s="62" t="s">
        <v>104</v>
      </c>
      <c r="D107" s="20">
        <f>'Participaciones  Tabla I'!D107</f>
        <v>3451</v>
      </c>
      <c r="E107" s="30">
        <f t="shared" si="16"/>
        <v>0.0014869244576883602</v>
      </c>
      <c r="F107" s="30">
        <f t="shared" si="17"/>
        <v>0.0010408471203818522</v>
      </c>
      <c r="G107" s="23">
        <f>'Participaciones  Tabla I'!Y107</f>
        <v>51.4620460751333</v>
      </c>
      <c r="H107" s="20">
        <f t="shared" si="14"/>
        <v>6101.803141630496</v>
      </c>
      <c r="I107" s="22">
        <f t="shared" si="15"/>
        <v>0.0026423962554472506</v>
      </c>
      <c r="J107" s="22">
        <f t="shared" si="18"/>
        <v>7.927188766341752E-4</v>
      </c>
      <c r="K107" s="85">
        <f t="shared" si="19"/>
        <v>0.0018335659970160274</v>
      </c>
      <c r="O107" s="78"/>
    </row>
    <row r="108" spans="1:15" ht="15">
      <c r="A108" s="18" t="s">
        <v>383</v>
      </c>
      <c r="B108" s="32">
        <v>104</v>
      </c>
      <c r="C108" s="61" t="s">
        <v>103</v>
      </c>
      <c r="D108" s="20">
        <f>'Participaciones  Tabla I'!D108</f>
        <v>16350</v>
      </c>
      <c r="E108" s="30">
        <f t="shared" si="16"/>
        <v>0.007044687013388783</v>
      </c>
      <c r="F108" s="30">
        <f t="shared" si="17"/>
        <v>0.004931280909372148</v>
      </c>
      <c r="G108" s="23">
        <f>'Participaciones  Tabla I'!Y108</f>
        <v>49.3282473222593</v>
      </c>
      <c r="H108" s="20">
        <f t="shared" si="14"/>
        <v>33988.49755452237</v>
      </c>
      <c r="I108" s="22">
        <f t="shared" si="15"/>
        <v>0.014718776824115804</v>
      </c>
      <c r="J108" s="22">
        <f t="shared" si="18"/>
        <v>0.004415633047234741</v>
      </c>
      <c r="K108" s="85">
        <f t="shared" si="19"/>
        <v>0.00934691395660689</v>
      </c>
      <c r="O108" s="78"/>
    </row>
    <row r="109" spans="1:15" ht="15">
      <c r="A109" s="18" t="s">
        <v>340</v>
      </c>
      <c r="B109" s="32">
        <v>105</v>
      </c>
      <c r="C109" s="62" t="s">
        <v>102</v>
      </c>
      <c r="D109" s="20">
        <f>'Participaciones  Tabla I'!D109</f>
        <v>3293</v>
      </c>
      <c r="E109" s="30">
        <f t="shared" si="16"/>
        <v>0.0014188473599442974</v>
      </c>
      <c r="F109" s="30">
        <f t="shared" si="17"/>
        <v>9.93193151961008E-4</v>
      </c>
      <c r="G109" s="23">
        <f>'Participaciones  Tabla I'!Y109</f>
        <v>55.8128582131954</v>
      </c>
      <c r="H109" s="20">
        <f t="shared" si="14"/>
        <v>3736.3953508147615</v>
      </c>
      <c r="I109" s="22">
        <f t="shared" si="15"/>
        <v>0.0016180523780754445</v>
      </c>
      <c r="J109" s="22">
        <f t="shared" si="18"/>
        <v>4.854157134226333E-4</v>
      </c>
      <c r="K109" s="85">
        <f t="shared" si="19"/>
        <v>0.0014786088653836414</v>
      </c>
      <c r="O109" s="78"/>
    </row>
    <row r="110" spans="1:15" ht="15">
      <c r="A110" s="18" t="s">
        <v>384</v>
      </c>
      <c r="B110" s="32">
        <v>106</v>
      </c>
      <c r="C110" s="61" t="s">
        <v>101</v>
      </c>
      <c r="D110" s="20">
        <f>'Participaciones  Tabla I'!D110</f>
        <v>2215</v>
      </c>
      <c r="E110" s="30">
        <f t="shared" si="16"/>
        <v>9.543719715386027E-4</v>
      </c>
      <c r="F110" s="30">
        <f t="shared" si="17"/>
        <v>6.680603800770219E-4</v>
      </c>
      <c r="G110" s="23">
        <f>'Participaciones  Tabla I'!Y110</f>
        <v>54.3573427494902</v>
      </c>
      <c r="H110" s="20">
        <f t="shared" si="14"/>
        <v>2982.654533918409</v>
      </c>
      <c r="I110" s="22">
        <f t="shared" si="15"/>
        <v>0.0012916436320187068</v>
      </c>
      <c r="J110" s="22">
        <f t="shared" si="18"/>
        <v>3.8749308960561203E-4</v>
      </c>
      <c r="K110" s="85">
        <f t="shared" si="19"/>
        <v>0.0010555534696826338</v>
      </c>
      <c r="O110" s="78"/>
    </row>
    <row r="111" spans="2:11" ht="15">
      <c r="B111" s="60"/>
      <c r="C111" s="58"/>
      <c r="D111" s="58"/>
      <c r="E111" s="58"/>
      <c r="F111" s="59">
        <f t="shared" si="17"/>
        <v>0</v>
      </c>
      <c r="G111" s="58"/>
      <c r="H111" s="58"/>
      <c r="I111" s="58"/>
      <c r="J111" s="57">
        <f t="shared" si="18"/>
        <v>0</v>
      </c>
      <c r="K111" s="86">
        <f>+F111+J111</f>
        <v>0</v>
      </c>
    </row>
    <row r="112" spans="2:11" ht="15">
      <c r="B112" s="104" t="s">
        <v>100</v>
      </c>
      <c r="C112" s="104"/>
      <c r="D112" s="55">
        <f t="shared" si="20" ref="D112:J112">SUM(D5:D110)</f>
        <v>2320898</v>
      </c>
      <c r="E112" s="55">
        <f t="shared" si="20"/>
        <v>1</v>
      </c>
      <c r="F112" s="56">
        <f t="shared" si="20"/>
        <v>0.70</v>
      </c>
      <c r="G112" s="55">
        <f t="shared" si="20"/>
        <v>5655.0866771990095</v>
      </c>
      <c r="H112" s="73">
        <f t="shared" si="20"/>
        <v>2309193.077704278</v>
      </c>
      <c r="I112" s="55">
        <f t="shared" si="20"/>
        <v>0.9999999999999999</v>
      </c>
      <c r="J112" s="56">
        <f t="shared" si="20"/>
        <v>0.30000000000000004</v>
      </c>
      <c r="K112" s="87">
        <f>SUM(K5:K110)</f>
        <v>0.9999999999999998</v>
      </c>
    </row>
    <row r="114" spans="3:8" ht="15">
      <c r="C114" s="64" t="s">
        <v>221</v>
      </c>
      <c r="D114" s="5"/>
      <c r="E114" s="5"/>
      <c r="F114" s="5"/>
      <c r="G114" s="5"/>
      <c r="H114" s="5"/>
    </row>
    <row r="115" spans="3:8" ht="15">
      <c r="C115" s="5" t="s">
        <v>222</v>
      </c>
      <c r="D115" s="5"/>
      <c r="E115" s="5"/>
      <c r="F115" s="5"/>
      <c r="G115" s="5"/>
      <c r="H115" s="5"/>
    </row>
    <row r="116" spans="3:3" ht="15">
      <c r="C116" s="5" t="s">
        <v>236</v>
      </c>
    </row>
    <row r="117" spans="3:3" ht="15">
      <c r="C117" t="s">
        <v>223</v>
      </c>
    </row>
  </sheetData>
  <mergeCells count="4">
    <mergeCell ref="B1:K1"/>
    <mergeCell ref="D3:F3"/>
    <mergeCell ref="G3:J3"/>
    <mergeCell ref="B112:C112"/>
  </mergeCells>
  <pageMargins left="0.1968503937007874" right="0.1968503937007874" top="0.31496062992125984" bottom="0.32" header="0.2362204724409449" footer="0.1968503937007874"/>
  <pageSetup orientation="landscape" paperSize="9" scale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Participaciones  Tabla I</vt:lpstr>
      <vt:lpstr>FOMUN 30% Tabla II</vt:lpstr>
      <vt:lpstr> GASOLINAS  Tabla III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Jesús Miguel Ortíz Jiménez</dc:creator>
  <cp:keywords/>
  <dc:description/>
  <cp:lastModifiedBy>Jesús Miguel Ortíz Jiménez</cp:lastModifiedBy>
  <dcterms:created xsi:type="dcterms:W3CDTF">2021-07-01T18:15:33Z</dcterms:created>
  <dcterms:modified xsi:type="dcterms:W3CDTF">2024-06-25T16:12:57Z</dcterms:modified>
  <cp:category/>
</cp:coreProperties>
</file>