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08.101\Recursos_Federales\JOSÉ PUERTO\PART. MUN. 2023\LEYES Y ACUERDOS\"/>
    </mc:Choice>
  </mc:AlternateContent>
  <bookViews>
    <workbookView xWindow="0" yWindow="0" windowWidth="20490" windowHeight="7350" firstSheet="1" activeTab="3"/>
  </bookViews>
  <sheets>
    <sheet name="POR MUNICIPIO ANUALPUBLICACIÓN" sheetId="4" r:id="rId1"/>
    <sheet name="Participaciones  Tabla I" sheetId="1" r:id="rId2"/>
    <sheet name="FOMUN 30% Tabla II (2)" sheetId="2" r:id="rId3"/>
    <sheet name=" GASOLINAS  Tabla III" sheetId="3" r:id="rId4"/>
  </sheets>
  <externalReferences>
    <externalReference r:id="rId5"/>
    <externalReference r:id="rId6"/>
  </externalReferences>
  <definedNames>
    <definedName name="_xlnm._FilterDatabase" localSheetId="0" hidden="1">'POR MUNICIPIO ANUALPUBLICACIÓN'!$N$6:$N$114</definedName>
    <definedName name="acuerdobebidas">[1]lie!$E$32</definedName>
    <definedName name="acuerdoenajenacion">[1]lie!$E$29</definedName>
    <definedName name="acuerdoestatales">[1]lie!$E$31</definedName>
    <definedName name="acuerdofocoisan">[1]lie!$E$24</definedName>
    <definedName name="acuerdofofir">[1]lie!$E$25</definedName>
    <definedName name="acuerdofogen">[1]lie!$E$21</definedName>
    <definedName name="acuerdofomun">[1]lie!$E$22</definedName>
    <definedName name="acuerdofondoisr">[1]lie!$E$27</definedName>
    <definedName name="acuerdoieps">[1]lie!$E$23</definedName>
    <definedName name="acuerdoiepsgasolinas">[1]lie!$E$26</definedName>
    <definedName name="acuerdoisan">[1]lie!$E$28</definedName>
    <definedName name="_xlnm.Print_Area" localSheetId="0">'POR MUNICIPIO ANUALPUBLICACIÓN'!$B$1:$AB$115</definedName>
    <definedName name="FACTORGASOLINAS" localSheetId="0">'[1] GASOLINAS  Tabla III'!$J$5:$J$110</definedName>
    <definedName name="FACTORGASOLINAS">' GASOLINAS  Tabla III'!$J$5:$J$110</definedName>
    <definedName name="focoisan" localSheetId="2">'[1]POR MUNICIPIO ANUALPUBLICACIÓN'!#REF!</definedName>
    <definedName name="focoisan">'POR MUNICIPIO ANUALPUBLICACIÓN'!#REF!</definedName>
    <definedName name="fofir" localSheetId="2">'[1]POR MUNICIPIO ANUALPUBLICACIÓN'!#REF!</definedName>
    <definedName name="fofir">'POR MUNICIPIO ANUALPUBLICACIÓN'!#REF!</definedName>
    <definedName name="fogen" localSheetId="2">'[1]POR MUNICIPIO ANUALPUBLICACIÓN'!#REF!</definedName>
    <definedName name="fogen">'POR MUNICIPIO ANUALPUBLICACIÓN'!#REF!</definedName>
    <definedName name="fomun" localSheetId="2">'[1]POR MUNICIPIO ANUALPUBLICACIÓN'!#REF!</definedName>
    <definedName name="fomun">'POR MUNICIPIO ANUALPUBLICACIÓN'!#REF!</definedName>
    <definedName name="ieps" localSheetId="2">'[1]POR MUNICIPIO ANUALPUBLICACIÓN'!#REF!</definedName>
    <definedName name="ieps">'POR MUNICIPIO ANUALPUBLICACIÓN'!#REF!</definedName>
    <definedName name="iepsgasolinas" localSheetId="2">'[1]POR MUNICIPIO ANUALPUBLICACIÓN'!#REF!</definedName>
    <definedName name="iepsgasolinas">'POR MUNICIPIO ANUALPUBLICACIÓN'!#REF!</definedName>
    <definedName name="isan" localSheetId="2">'[1]POR MUNICIPIO ANUALPUBLICACIÓN'!#REF!</definedName>
    <definedName name="isan">'POR MUNICIPIO ANUALPUBLICACIÓN'!#REF!</definedName>
    <definedName name="isr" localSheetId="2">'[1]POR MUNICIPIO ANUALPUBLICACIÓN'!#REF!</definedName>
    <definedName name="isr">'POR MUNICIPIO ANUALPUBLICACIÓN'!#REF!</definedName>
    <definedName name="isrbienesinmuebles" localSheetId="2">'[1]POR MUNICIPIO ANUALPUBLICACIÓN'!#REF!</definedName>
    <definedName name="isrbienesinmuebles">'POR MUNICIPIO ANUALPUBLICACIÓN'!#REF!</definedName>
    <definedName name="mbebidasalcoholicas" localSheetId="2">'[1]POR MUNICIPIO ANUALPUBLICACIÓN'!#REF!</definedName>
    <definedName name="mbebidasalcoholicas">'POR MUNICIPIO ANUALPUBLICACIÓN'!#REF!</definedName>
    <definedName name="mestatales" localSheetId="2">'[1]POR MUNICIPIO ANUALPUBLICACIÓN'!#REF!</definedName>
    <definedName name="mestatales">'POR MUNICIPIO ANUALPUBLICACIÓN'!#REF!</definedName>
    <definedName name="mfocoisan" localSheetId="2">'[1]POR MUNICIPIO ANUALPUBLICACIÓN'!#REF!</definedName>
    <definedName name="mfocoisan">'POR MUNICIPIO ANUALPUBLICACIÓN'!#REF!</definedName>
    <definedName name="mfofir" localSheetId="2">'[1]POR MUNICIPIO ANUALPUBLICACIÓN'!#REF!</definedName>
    <definedName name="mfofir">'POR MUNICIPIO ANUALPUBLICACIÓN'!#REF!</definedName>
    <definedName name="mfogen" localSheetId="2">'[1]POR MUNICIPIO ANUALPUBLICACIÓN'!#REF!</definedName>
    <definedName name="mfogen">'POR MUNICIPIO ANUALPUBLICACIÓN'!#REF!</definedName>
    <definedName name="mfomun" localSheetId="2">'[1]POR MUNICIPIO ANUALPUBLICACIÓN'!#REF!</definedName>
    <definedName name="mfomun">'POR MUNICIPIO ANUALPUBLICACIÓN'!#REF!</definedName>
    <definedName name="mieps" localSheetId="2">'[1]POR MUNICIPIO ANUALPUBLICACIÓN'!#REF!</definedName>
    <definedName name="mieps">'POR MUNICIPIO ANUALPUBLICACIÓN'!#REF!</definedName>
    <definedName name="miepsgasolinas" localSheetId="2">'[1]POR MUNICIPIO ANUALPUBLICACIÓN'!#REF!</definedName>
    <definedName name="miepsgasolinas">'POR MUNICIPIO ANUALPUBLICACIÓN'!#REF!</definedName>
    <definedName name="misan" localSheetId="2">'[1]POR MUNICIPIO ANUALPUBLICACIÓN'!#REF!</definedName>
    <definedName name="misan">'POR MUNICIPIO ANUALPUBLICACIÓN'!#REF!</definedName>
    <definedName name="misr" localSheetId="2">'[1]POR MUNICIPIO ANUALPUBLICACIÓN'!#REF!</definedName>
    <definedName name="misr">'POR MUNICIPIO ANUALPUBLICACIÓN'!#REF!</definedName>
    <definedName name="misrbienesinmuebles" localSheetId="2">'[1]POR MUNICIPIO ANUALPUBLICACIÓN'!#REF!</definedName>
    <definedName name="misrbienesinmuebles">'POR MUNICIPIO ANUALPUBLICACIÓN'!#REF!</definedName>
    <definedName name="RANGOFOGEN" localSheetId="3">'[1]Participaciones  Tabla I'!$AC$5:$AC$110</definedName>
    <definedName name="RANGOFOGEN" localSheetId="2">'[1]Participaciones  Tabla I'!$AC$5:$AC$110</definedName>
    <definedName name="RANGOFOGEN" localSheetId="0">'[1]Participaciones  Tabla I'!$AC$5:$AC$110</definedName>
    <definedName name="RANGOFOGEN">'Participaciones  Tabla I'!$AC$5:$AC$110</definedName>
    <definedName name="_xlnm.Print_Titles" localSheetId="3">' GASOLINAS  Tabla III'!$1:$4</definedName>
    <definedName name="_xlnm.Print_Titles" localSheetId="2">'FOMUN 30% Tabla II (2)'!$1:$4</definedName>
    <definedName name="_xlnm.Print_Titles" localSheetId="1">'Participaciones  Tabla I'!$3:$4</definedName>
    <definedName name="_xlnm.Print_Titles" localSheetId="0">'POR MUNICIPIO ANUALPUBLICACIÓN'!$1:$6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117" i="4" l="1"/>
  <c r="W117" i="4"/>
  <c r="U117" i="4"/>
  <c r="S117" i="4"/>
  <c r="S113" i="4" s="1"/>
  <c r="Q117" i="4"/>
  <c r="O117" i="4"/>
  <c r="M117" i="4"/>
  <c r="K117" i="4"/>
  <c r="K113" i="4" s="1"/>
  <c r="I117" i="4"/>
  <c r="G117" i="4"/>
  <c r="E117" i="4"/>
  <c r="AA113" i="4"/>
  <c r="Y113" i="4"/>
  <c r="BO113" i="4" s="1"/>
  <c r="W113" i="4"/>
  <c r="BN113" i="4" s="1"/>
  <c r="U113" i="4"/>
  <c r="BM113" i="4" s="1"/>
  <c r="Q113" i="4"/>
  <c r="BK113" i="4" s="1"/>
  <c r="O113" i="4"/>
  <c r="BJ113" i="4" s="1"/>
  <c r="N113" i="4"/>
  <c r="M113" i="4"/>
  <c r="BI113" i="4" s="1"/>
  <c r="I113" i="4"/>
  <c r="BG113" i="4" s="1"/>
  <c r="G113" i="4"/>
  <c r="BF113" i="4" s="1"/>
  <c r="E113" i="4"/>
  <c r="O112" i="4"/>
  <c r="BJ112" i="4" s="1"/>
  <c r="O111" i="4"/>
  <c r="BJ111" i="4" s="1"/>
  <c r="O110" i="4"/>
  <c r="BJ110" i="4" s="1"/>
  <c r="O109" i="4"/>
  <c r="BJ109" i="4" s="1"/>
  <c r="O108" i="4"/>
  <c r="BJ108" i="4" s="1"/>
  <c r="O107" i="4"/>
  <c r="BJ107" i="4" s="1"/>
  <c r="O106" i="4"/>
  <c r="BJ106" i="4" s="1"/>
  <c r="O105" i="4"/>
  <c r="BJ105" i="4" s="1"/>
  <c r="O104" i="4"/>
  <c r="BJ104" i="4" s="1"/>
  <c r="O103" i="4"/>
  <c r="BJ103" i="4" s="1"/>
  <c r="O102" i="4"/>
  <c r="BJ102" i="4" s="1"/>
  <c r="O101" i="4"/>
  <c r="BJ101" i="4" s="1"/>
  <c r="O100" i="4"/>
  <c r="BJ100" i="4" s="1"/>
  <c r="O99" i="4"/>
  <c r="BJ99" i="4" s="1"/>
  <c r="BJ98" i="4"/>
  <c r="O98" i="4"/>
  <c r="O97" i="4"/>
  <c r="BJ97" i="4" s="1"/>
  <c r="O96" i="4"/>
  <c r="BJ96" i="4" s="1"/>
  <c r="O95" i="4"/>
  <c r="BJ95" i="4" s="1"/>
  <c r="O94" i="4"/>
  <c r="BJ94" i="4" s="1"/>
  <c r="O93" i="4"/>
  <c r="BJ93" i="4" s="1"/>
  <c r="O92" i="4"/>
  <c r="BJ92" i="4" s="1"/>
  <c r="O91" i="4"/>
  <c r="BJ91" i="4" s="1"/>
  <c r="O90" i="4"/>
  <c r="BJ90" i="4" s="1"/>
  <c r="O89" i="4"/>
  <c r="BJ89" i="4" s="1"/>
  <c r="O88" i="4"/>
  <c r="BJ88" i="4" s="1"/>
  <c r="O87" i="4"/>
  <c r="BJ87" i="4" s="1"/>
  <c r="BJ86" i="4"/>
  <c r="O86" i="4"/>
  <c r="O85" i="4"/>
  <c r="BJ85" i="4" s="1"/>
  <c r="BJ84" i="4"/>
  <c r="O84" i="4"/>
  <c r="O83" i="4"/>
  <c r="BJ83" i="4" s="1"/>
  <c r="O82" i="4"/>
  <c r="BJ82" i="4" s="1"/>
  <c r="O81" i="4"/>
  <c r="BJ81" i="4" s="1"/>
  <c r="O80" i="4"/>
  <c r="BJ80" i="4" s="1"/>
  <c r="O79" i="4"/>
  <c r="BJ79" i="4" s="1"/>
  <c r="BJ78" i="4"/>
  <c r="O78" i="4"/>
  <c r="O77" i="4"/>
  <c r="BJ77" i="4" s="1"/>
  <c r="BJ76" i="4"/>
  <c r="O76" i="4"/>
  <c r="O75" i="4"/>
  <c r="BJ75" i="4" s="1"/>
  <c r="O74" i="4"/>
  <c r="BJ74" i="4" s="1"/>
  <c r="BJ73" i="4"/>
  <c r="O73" i="4"/>
  <c r="O72" i="4"/>
  <c r="BJ72" i="4" s="1"/>
  <c r="BN71" i="4"/>
  <c r="O71" i="4"/>
  <c r="BJ71" i="4" s="1"/>
  <c r="O70" i="4"/>
  <c r="BJ70" i="4" s="1"/>
  <c r="BJ69" i="4"/>
  <c r="O69" i="4"/>
  <c r="W68" i="4"/>
  <c r="BN68" i="4" s="1"/>
  <c r="O68" i="4"/>
  <c r="BJ68" i="4" s="1"/>
  <c r="BJ67" i="4"/>
  <c r="O67" i="4"/>
  <c r="O66" i="4"/>
  <c r="BJ66" i="4" s="1"/>
  <c r="O65" i="4"/>
  <c r="BJ65" i="4" s="1"/>
  <c r="O64" i="4"/>
  <c r="BJ64" i="4" s="1"/>
  <c r="O63" i="4"/>
  <c r="BJ63" i="4" s="1"/>
  <c r="O62" i="4"/>
  <c r="BJ62" i="4" s="1"/>
  <c r="O61" i="4"/>
  <c r="BJ61" i="4" s="1"/>
  <c r="O60" i="4"/>
  <c r="BJ60" i="4" s="1"/>
  <c r="BJ59" i="4"/>
  <c r="O59" i="4"/>
  <c r="O58" i="4"/>
  <c r="BJ58" i="4" s="1"/>
  <c r="BJ57" i="4"/>
  <c r="O57" i="4"/>
  <c r="O56" i="4"/>
  <c r="BJ56" i="4" s="1"/>
  <c r="BN55" i="4"/>
  <c r="BJ55" i="4"/>
  <c r="O55" i="4"/>
  <c r="O54" i="4"/>
  <c r="BJ54" i="4" s="1"/>
  <c r="O53" i="4"/>
  <c r="BJ53" i="4" s="1"/>
  <c r="O52" i="4"/>
  <c r="BJ52" i="4" s="1"/>
  <c r="O51" i="4"/>
  <c r="BJ51" i="4" s="1"/>
  <c r="O50" i="4"/>
  <c r="BJ50" i="4" s="1"/>
  <c r="BJ49" i="4"/>
  <c r="O49" i="4"/>
  <c r="O48" i="4"/>
  <c r="BJ48" i="4" s="1"/>
  <c r="BN47" i="4"/>
  <c r="O47" i="4"/>
  <c r="BJ47" i="4" s="1"/>
  <c r="O46" i="4"/>
  <c r="BJ46" i="4" s="1"/>
  <c r="O45" i="4"/>
  <c r="BJ45" i="4" s="1"/>
  <c r="O44" i="4"/>
  <c r="BJ44" i="4" s="1"/>
  <c r="O43" i="4"/>
  <c r="BJ43" i="4" s="1"/>
  <c r="O42" i="4"/>
  <c r="BJ42" i="4" s="1"/>
  <c r="O41" i="4"/>
  <c r="BJ41" i="4" s="1"/>
  <c r="O40" i="4"/>
  <c r="BJ40" i="4" s="1"/>
  <c r="U39" i="4"/>
  <c r="BM39" i="4" s="1"/>
  <c r="O39" i="4"/>
  <c r="BJ39" i="4" s="1"/>
  <c r="O38" i="4"/>
  <c r="BJ38" i="4" s="1"/>
  <c r="O37" i="4"/>
  <c r="BJ37" i="4" s="1"/>
  <c r="O36" i="4"/>
  <c r="BJ36" i="4" s="1"/>
  <c r="BJ35" i="4"/>
  <c r="O35" i="4"/>
  <c r="M35" i="4"/>
  <c r="BI35" i="4" s="1"/>
  <c r="O34" i="4"/>
  <c r="BJ34" i="4" s="1"/>
  <c r="BJ33" i="4"/>
  <c r="O33" i="4"/>
  <c r="O32" i="4"/>
  <c r="BJ32" i="4" s="1"/>
  <c r="BN31" i="4"/>
  <c r="BJ31" i="4"/>
  <c r="O31" i="4"/>
  <c r="O30" i="4"/>
  <c r="BJ30" i="4" s="1"/>
  <c r="BJ29" i="4"/>
  <c r="O29" i="4"/>
  <c r="O28" i="4"/>
  <c r="BJ28" i="4" s="1"/>
  <c r="BJ27" i="4"/>
  <c r="O27" i="4"/>
  <c r="O26" i="4"/>
  <c r="BJ26" i="4" s="1"/>
  <c r="O25" i="4"/>
  <c r="BJ25" i="4" s="1"/>
  <c r="O24" i="4"/>
  <c r="BJ24" i="4" s="1"/>
  <c r="BJ23" i="4"/>
  <c r="U23" i="4"/>
  <c r="BM23" i="4" s="1"/>
  <c r="O23" i="4"/>
  <c r="O22" i="4"/>
  <c r="BJ22" i="4" s="1"/>
  <c r="O21" i="4"/>
  <c r="BJ21" i="4" s="1"/>
  <c r="O20" i="4"/>
  <c r="BJ20" i="4" s="1"/>
  <c r="O19" i="4"/>
  <c r="BJ19" i="4" s="1"/>
  <c r="M19" i="4"/>
  <c r="BI19" i="4" s="1"/>
  <c r="O18" i="4"/>
  <c r="BJ18" i="4" s="1"/>
  <c r="O17" i="4"/>
  <c r="BJ17" i="4" s="1"/>
  <c r="O16" i="4"/>
  <c r="BJ16" i="4" s="1"/>
  <c r="U15" i="4"/>
  <c r="BM15" i="4" s="1"/>
  <c r="O15" i="4"/>
  <c r="BJ15" i="4" s="1"/>
  <c r="O14" i="4"/>
  <c r="BJ14" i="4" s="1"/>
  <c r="O13" i="4"/>
  <c r="BJ13" i="4" s="1"/>
  <c r="O12" i="4"/>
  <c r="BJ12" i="4" s="1"/>
  <c r="O11" i="4"/>
  <c r="BJ11" i="4" s="1"/>
  <c r="O10" i="4"/>
  <c r="BJ10" i="4" s="1"/>
  <c r="O9" i="4"/>
  <c r="BJ9" i="4" s="1"/>
  <c r="BJ8" i="4"/>
  <c r="W8" i="4"/>
  <c r="BN8" i="4" s="1"/>
  <c r="O8" i="4"/>
  <c r="X111" i="4"/>
  <c r="Y111" i="4" s="1"/>
  <c r="BO111" i="4" s="1"/>
  <c r="X110" i="4"/>
  <c r="Y110" i="4" s="1"/>
  <c r="BO110" i="4" s="1"/>
  <c r="X106" i="4"/>
  <c r="Y106" i="4" s="1"/>
  <c r="BO106" i="4" s="1"/>
  <c r="X104" i="4"/>
  <c r="Y104" i="4" s="1"/>
  <c r="BO104" i="4" s="1"/>
  <c r="X100" i="4"/>
  <c r="Y100" i="4" s="1"/>
  <c r="BO100" i="4" s="1"/>
  <c r="X99" i="4"/>
  <c r="Y99" i="4" s="1"/>
  <c r="BO99" i="4" s="1"/>
  <c r="X95" i="4"/>
  <c r="Y95" i="4" s="1"/>
  <c r="BO95" i="4" s="1"/>
  <c r="X94" i="4"/>
  <c r="Y94" i="4" s="1"/>
  <c r="BO94" i="4" s="1"/>
  <c r="X90" i="4"/>
  <c r="Y90" i="4" s="1"/>
  <c r="BO90" i="4" s="1"/>
  <c r="X88" i="4"/>
  <c r="Y88" i="4" s="1"/>
  <c r="BO88" i="4" s="1"/>
  <c r="X84" i="4"/>
  <c r="Y84" i="4" s="1"/>
  <c r="BO84" i="4" s="1"/>
  <c r="X83" i="4"/>
  <c r="Y83" i="4" s="1"/>
  <c r="BO83" i="4" s="1"/>
  <c r="X80" i="4"/>
  <c r="Y80" i="4" s="1"/>
  <c r="BO80" i="4" s="1"/>
  <c r="X79" i="4"/>
  <c r="Y79" i="4" s="1"/>
  <c r="BO79" i="4" s="1"/>
  <c r="X76" i="4"/>
  <c r="Y76" i="4" s="1"/>
  <c r="BO76" i="4" s="1"/>
  <c r="X75" i="4"/>
  <c r="Y75" i="4" s="1"/>
  <c r="BO75" i="4" s="1"/>
  <c r="X72" i="4"/>
  <c r="Y72" i="4" s="1"/>
  <c r="BO72" i="4" s="1"/>
  <c r="X71" i="4"/>
  <c r="Y71" i="4" s="1"/>
  <c r="BO71" i="4" s="1"/>
  <c r="X68" i="4"/>
  <c r="Y68" i="4" s="1"/>
  <c r="BO68" i="4" s="1"/>
  <c r="X67" i="4"/>
  <c r="Y67" i="4" s="1"/>
  <c r="BO67" i="4" s="1"/>
  <c r="X64" i="4"/>
  <c r="Y64" i="4" s="1"/>
  <c r="BO64" i="4" s="1"/>
  <c r="X63" i="4"/>
  <c r="Y63" i="4" s="1"/>
  <c r="BO63" i="4" s="1"/>
  <c r="X60" i="4"/>
  <c r="Y60" i="4" s="1"/>
  <c r="BO60" i="4" s="1"/>
  <c r="X59" i="4"/>
  <c r="Y59" i="4" s="1"/>
  <c r="BO59" i="4" s="1"/>
  <c r="X56" i="4"/>
  <c r="X55" i="4"/>
  <c r="Y55" i="4" s="1"/>
  <c r="BO55" i="4" s="1"/>
  <c r="X52" i="4"/>
  <c r="Y52" i="4" s="1"/>
  <c r="BO52" i="4" s="1"/>
  <c r="X51" i="4"/>
  <c r="Y51" i="4" s="1"/>
  <c r="BO51" i="4" s="1"/>
  <c r="X48" i="4"/>
  <c r="Y48" i="4" s="1"/>
  <c r="BO48" i="4" s="1"/>
  <c r="X47" i="4"/>
  <c r="Y47" i="4" s="1"/>
  <c r="BO47" i="4" s="1"/>
  <c r="X44" i="4"/>
  <c r="Y44" i="4" s="1"/>
  <c r="BO44" i="4" s="1"/>
  <c r="X43" i="4"/>
  <c r="Y43" i="4" s="1"/>
  <c r="BO43" i="4" s="1"/>
  <c r="X40" i="4"/>
  <c r="Y40" i="4" s="1"/>
  <c r="BO40" i="4" s="1"/>
  <c r="X39" i="4"/>
  <c r="Y39" i="4" s="1"/>
  <c r="BO39" i="4" s="1"/>
  <c r="X36" i="4"/>
  <c r="Y36" i="4" s="1"/>
  <c r="BO36" i="4" s="1"/>
  <c r="X35" i="4"/>
  <c r="Y35" i="4" s="1"/>
  <c r="BO35" i="4" s="1"/>
  <c r="X32" i="4"/>
  <c r="Y32" i="4" s="1"/>
  <c r="BO32" i="4" s="1"/>
  <c r="X31" i="4"/>
  <c r="Y31" i="4" s="1"/>
  <c r="BO31" i="4" s="1"/>
  <c r="X28" i="4"/>
  <c r="Y28" i="4" s="1"/>
  <c r="BO28" i="4" s="1"/>
  <c r="X27" i="4"/>
  <c r="Y27" i="4" s="1"/>
  <c r="BO27" i="4" s="1"/>
  <c r="X24" i="4"/>
  <c r="Y24" i="4" s="1"/>
  <c r="BO24" i="4" s="1"/>
  <c r="X23" i="4"/>
  <c r="Y23" i="4" s="1"/>
  <c r="BO23" i="4" s="1"/>
  <c r="X20" i="4"/>
  <c r="Y20" i="4" s="1"/>
  <c r="BO20" i="4" s="1"/>
  <c r="X19" i="4"/>
  <c r="Y19" i="4" s="1"/>
  <c r="BO19" i="4" s="1"/>
  <c r="X16" i="4"/>
  <c r="Y16" i="4" s="1"/>
  <c r="BO16" i="4" s="1"/>
  <c r="X15" i="4"/>
  <c r="Y15" i="4" s="1"/>
  <c r="BO15" i="4" s="1"/>
  <c r="X12" i="4"/>
  <c r="Y12" i="4" s="1"/>
  <c r="BO12" i="4" s="1"/>
  <c r="X11" i="4"/>
  <c r="Y11" i="4" s="1"/>
  <c r="BO11" i="4" s="1"/>
  <c r="X8" i="4"/>
  <c r="Y8" i="4" s="1"/>
  <c r="BO8" i="4" s="1"/>
  <c r="X7" i="4"/>
  <c r="X7" i="4" a="1"/>
  <c r="X112" i="4" s="1"/>
  <c r="Y112" i="4" s="1"/>
  <c r="BO112" i="4" s="1"/>
  <c r="V112" i="4"/>
  <c r="W112" i="4" s="1"/>
  <c r="BN112" i="4" s="1"/>
  <c r="V111" i="4"/>
  <c r="W111" i="4" s="1"/>
  <c r="BN111" i="4" s="1"/>
  <c r="V108" i="4"/>
  <c r="W108" i="4" s="1"/>
  <c r="BN108" i="4" s="1"/>
  <c r="V107" i="4"/>
  <c r="W107" i="4" s="1"/>
  <c r="BN107" i="4" s="1"/>
  <c r="V104" i="4"/>
  <c r="W104" i="4" s="1"/>
  <c r="BN104" i="4" s="1"/>
  <c r="V103" i="4"/>
  <c r="W103" i="4" s="1"/>
  <c r="BN103" i="4" s="1"/>
  <c r="V100" i="4"/>
  <c r="W100" i="4" s="1"/>
  <c r="BN100" i="4" s="1"/>
  <c r="V99" i="4"/>
  <c r="W99" i="4" s="1"/>
  <c r="BN99" i="4" s="1"/>
  <c r="V96" i="4"/>
  <c r="W96" i="4" s="1"/>
  <c r="BN96" i="4" s="1"/>
  <c r="V95" i="4"/>
  <c r="W95" i="4" s="1"/>
  <c r="BN95" i="4" s="1"/>
  <c r="V92" i="4"/>
  <c r="W92" i="4" s="1"/>
  <c r="BN92" i="4" s="1"/>
  <c r="V91" i="4"/>
  <c r="W91" i="4" s="1"/>
  <c r="BN91" i="4" s="1"/>
  <c r="V88" i="4"/>
  <c r="W88" i="4" s="1"/>
  <c r="BN88" i="4" s="1"/>
  <c r="V87" i="4"/>
  <c r="W87" i="4" s="1"/>
  <c r="BN87" i="4" s="1"/>
  <c r="V84" i="4"/>
  <c r="W84" i="4" s="1"/>
  <c r="BN84" i="4" s="1"/>
  <c r="V83" i="4"/>
  <c r="W83" i="4" s="1"/>
  <c r="BN83" i="4" s="1"/>
  <c r="V80" i="4"/>
  <c r="W80" i="4" s="1"/>
  <c r="BN80" i="4" s="1"/>
  <c r="V79" i="4"/>
  <c r="W79" i="4" s="1"/>
  <c r="BN79" i="4" s="1"/>
  <c r="V76" i="4"/>
  <c r="W76" i="4" s="1"/>
  <c r="BN76" i="4" s="1"/>
  <c r="V75" i="4"/>
  <c r="W75" i="4" s="1"/>
  <c r="BN75" i="4" s="1"/>
  <c r="V72" i="4"/>
  <c r="W72" i="4" s="1"/>
  <c r="BN72" i="4" s="1"/>
  <c r="V71" i="4"/>
  <c r="W71" i="4" s="1"/>
  <c r="V68" i="4"/>
  <c r="V67" i="4"/>
  <c r="W67" i="4" s="1"/>
  <c r="BN67" i="4" s="1"/>
  <c r="V64" i="4"/>
  <c r="W64" i="4" s="1"/>
  <c r="BN64" i="4" s="1"/>
  <c r="V63" i="4"/>
  <c r="W63" i="4" s="1"/>
  <c r="BN63" i="4" s="1"/>
  <c r="V60" i="4"/>
  <c r="W60" i="4" s="1"/>
  <c r="BN60" i="4" s="1"/>
  <c r="V59" i="4"/>
  <c r="W59" i="4" s="1"/>
  <c r="BN59" i="4" s="1"/>
  <c r="V56" i="4"/>
  <c r="V55" i="4"/>
  <c r="W55" i="4" s="1"/>
  <c r="V52" i="4"/>
  <c r="W52" i="4" s="1"/>
  <c r="BN52" i="4" s="1"/>
  <c r="V51" i="4"/>
  <c r="W51" i="4" s="1"/>
  <c r="BN51" i="4" s="1"/>
  <c r="V48" i="4"/>
  <c r="W48" i="4" s="1"/>
  <c r="BN48" i="4" s="1"/>
  <c r="V47" i="4"/>
  <c r="W47" i="4" s="1"/>
  <c r="V44" i="4"/>
  <c r="W44" i="4" s="1"/>
  <c r="BN44" i="4" s="1"/>
  <c r="V43" i="4"/>
  <c r="W43" i="4" s="1"/>
  <c r="BN43" i="4" s="1"/>
  <c r="V40" i="4"/>
  <c r="W40" i="4" s="1"/>
  <c r="BN40" i="4" s="1"/>
  <c r="V39" i="4"/>
  <c r="W39" i="4" s="1"/>
  <c r="BN39" i="4" s="1"/>
  <c r="V36" i="4"/>
  <c r="W36" i="4" s="1"/>
  <c r="BN36" i="4" s="1"/>
  <c r="V35" i="4"/>
  <c r="W35" i="4" s="1"/>
  <c r="BN35" i="4" s="1"/>
  <c r="V32" i="4"/>
  <c r="W32" i="4" s="1"/>
  <c r="BN32" i="4" s="1"/>
  <c r="V31" i="4"/>
  <c r="W31" i="4" s="1"/>
  <c r="V28" i="4"/>
  <c r="W28" i="4" s="1"/>
  <c r="BN28" i="4" s="1"/>
  <c r="V27" i="4"/>
  <c r="W27" i="4" s="1"/>
  <c r="BN27" i="4" s="1"/>
  <c r="V24" i="4"/>
  <c r="W24" i="4" s="1"/>
  <c r="BN24" i="4" s="1"/>
  <c r="V23" i="4"/>
  <c r="W23" i="4" s="1"/>
  <c r="BN23" i="4" s="1"/>
  <c r="V20" i="4"/>
  <c r="W20" i="4" s="1"/>
  <c r="BN20" i="4" s="1"/>
  <c r="V19" i="4"/>
  <c r="W19" i="4" s="1"/>
  <c r="BN19" i="4" s="1"/>
  <c r="V16" i="4"/>
  <c r="W16" i="4" s="1"/>
  <c r="BN16" i="4" s="1"/>
  <c r="V15" i="4"/>
  <c r="W15" i="4" s="1"/>
  <c r="BN15" i="4" s="1"/>
  <c r="V12" i="4"/>
  <c r="W12" i="4" s="1"/>
  <c r="BN12" i="4" s="1"/>
  <c r="V11" i="4"/>
  <c r="W11" i="4" s="1"/>
  <c r="BN11" i="4" s="1"/>
  <c r="V8" i="4"/>
  <c r="V7" i="4"/>
  <c r="V7" i="4" a="1"/>
  <c r="V110" i="4" s="1"/>
  <c r="W110" i="4" s="1"/>
  <c r="BN110" i="4" s="1"/>
  <c r="T112" i="4"/>
  <c r="U112" i="4" s="1"/>
  <c r="BM112" i="4" s="1"/>
  <c r="T107" i="4"/>
  <c r="U107" i="4" s="1"/>
  <c r="BM107" i="4" s="1"/>
  <c r="T104" i="4"/>
  <c r="T103" i="4"/>
  <c r="T99" i="4"/>
  <c r="U99" i="4" s="1"/>
  <c r="BM99" i="4" s="1"/>
  <c r="T96" i="4"/>
  <c r="U96" i="4" s="1"/>
  <c r="BM96" i="4" s="1"/>
  <c r="T95" i="4"/>
  <c r="T91" i="4"/>
  <c r="T88" i="4"/>
  <c r="U88" i="4" s="1"/>
  <c r="BM88" i="4" s="1"/>
  <c r="T87" i="4"/>
  <c r="U87" i="4" s="1"/>
  <c r="BM87" i="4" s="1"/>
  <c r="T83" i="4"/>
  <c r="T80" i="4"/>
  <c r="T79" i="4"/>
  <c r="U79" i="4" s="1"/>
  <c r="BM79" i="4" s="1"/>
  <c r="T75" i="4"/>
  <c r="U75" i="4" s="1"/>
  <c r="BM75" i="4" s="1"/>
  <c r="T72" i="4"/>
  <c r="T71" i="4"/>
  <c r="T67" i="4"/>
  <c r="U67" i="4" s="1"/>
  <c r="BM67" i="4" s="1"/>
  <c r="T64" i="4"/>
  <c r="U64" i="4" s="1"/>
  <c r="BM64" i="4" s="1"/>
  <c r="T63" i="4"/>
  <c r="T59" i="4"/>
  <c r="T56" i="4"/>
  <c r="T55" i="4"/>
  <c r="U55" i="4" s="1"/>
  <c r="BM55" i="4" s="1"/>
  <c r="T51" i="4"/>
  <c r="T48" i="4"/>
  <c r="T47" i="4"/>
  <c r="U47" i="4" s="1"/>
  <c r="BM47" i="4" s="1"/>
  <c r="T43" i="4"/>
  <c r="U43" i="4" s="1"/>
  <c r="BM43" i="4" s="1"/>
  <c r="T40" i="4"/>
  <c r="T39" i="4"/>
  <c r="T36" i="4"/>
  <c r="U36" i="4" s="1"/>
  <c r="BM36" i="4" s="1"/>
  <c r="T35" i="4"/>
  <c r="U35" i="4" s="1"/>
  <c r="BM35" i="4" s="1"/>
  <c r="T34" i="4"/>
  <c r="T31" i="4"/>
  <c r="T30" i="4"/>
  <c r="U30" i="4" s="1"/>
  <c r="BM30" i="4" s="1"/>
  <c r="T28" i="4"/>
  <c r="U28" i="4" s="1"/>
  <c r="BM28" i="4" s="1"/>
  <c r="T26" i="4"/>
  <c r="T24" i="4"/>
  <c r="T23" i="4"/>
  <c r="T20" i="4"/>
  <c r="U20" i="4" s="1"/>
  <c r="BM20" i="4" s="1"/>
  <c r="T19" i="4"/>
  <c r="T18" i="4"/>
  <c r="T15" i="4"/>
  <c r="T14" i="4"/>
  <c r="U14" i="4" s="1"/>
  <c r="BM14" i="4" s="1"/>
  <c r="T12" i="4"/>
  <c r="T10" i="4"/>
  <c r="T8" i="4"/>
  <c r="U8" i="4" s="1"/>
  <c r="BM8" i="4" s="1"/>
  <c r="T7" i="4"/>
  <c r="T7" i="4" a="1"/>
  <c r="R111" i="4"/>
  <c r="R106" i="4"/>
  <c r="R100" i="4"/>
  <c r="S100" i="4" s="1"/>
  <c r="BL100" i="4" s="1"/>
  <c r="R95" i="4"/>
  <c r="R90" i="4"/>
  <c r="R84" i="4"/>
  <c r="R79" i="4"/>
  <c r="S79" i="4" s="1"/>
  <c r="BL79" i="4" s="1"/>
  <c r="R74" i="4"/>
  <c r="R68" i="4"/>
  <c r="R63" i="4"/>
  <c r="R58" i="4"/>
  <c r="S58" i="4" s="1"/>
  <c r="BL58" i="4" s="1"/>
  <c r="R52" i="4"/>
  <c r="R47" i="4"/>
  <c r="R42" i="4"/>
  <c r="R36" i="4"/>
  <c r="S36" i="4" s="1"/>
  <c r="BL36" i="4" s="1"/>
  <c r="R31" i="4"/>
  <c r="R26" i="4"/>
  <c r="R20" i="4"/>
  <c r="R15" i="4"/>
  <c r="S15" i="4" s="1"/>
  <c r="BL15" i="4" s="1"/>
  <c r="R10" i="4"/>
  <c r="R7" i="4" a="1"/>
  <c r="R108" i="4" s="1"/>
  <c r="P7" i="4" a="1"/>
  <c r="O7" i="4"/>
  <c r="BJ7" i="4" s="1"/>
  <c r="L112" i="4"/>
  <c r="L111" i="4"/>
  <c r="L109" i="4"/>
  <c r="M109" i="4" s="1"/>
  <c r="BI109" i="4" s="1"/>
  <c r="L108" i="4"/>
  <c r="M108" i="4" s="1"/>
  <c r="BI108" i="4" s="1"/>
  <c r="L107" i="4"/>
  <c r="L105" i="4"/>
  <c r="L104" i="4"/>
  <c r="M104" i="4" s="1"/>
  <c r="BI104" i="4" s="1"/>
  <c r="L103" i="4"/>
  <c r="M103" i="4" s="1"/>
  <c r="BI103" i="4" s="1"/>
  <c r="L101" i="4"/>
  <c r="L100" i="4"/>
  <c r="L99" i="4"/>
  <c r="M99" i="4" s="1"/>
  <c r="BI99" i="4" s="1"/>
  <c r="L97" i="4"/>
  <c r="M97" i="4" s="1"/>
  <c r="BI97" i="4" s="1"/>
  <c r="L96" i="4"/>
  <c r="L95" i="4"/>
  <c r="L93" i="4"/>
  <c r="M93" i="4" s="1"/>
  <c r="BI93" i="4" s="1"/>
  <c r="L92" i="4"/>
  <c r="M92" i="4" s="1"/>
  <c r="BI92" i="4" s="1"/>
  <c r="L91" i="4"/>
  <c r="L89" i="4"/>
  <c r="L88" i="4"/>
  <c r="M88" i="4" s="1"/>
  <c r="BI88" i="4" s="1"/>
  <c r="L87" i="4"/>
  <c r="M87" i="4" s="1"/>
  <c r="BI87" i="4" s="1"/>
  <c r="L85" i="4"/>
  <c r="L84" i="4"/>
  <c r="L83" i="4"/>
  <c r="M83" i="4" s="1"/>
  <c r="BI83" i="4" s="1"/>
  <c r="L81" i="4"/>
  <c r="M81" i="4" s="1"/>
  <c r="BI81" i="4" s="1"/>
  <c r="L80" i="4"/>
  <c r="L79" i="4"/>
  <c r="L77" i="4"/>
  <c r="M77" i="4" s="1"/>
  <c r="BI77" i="4" s="1"/>
  <c r="L76" i="4"/>
  <c r="M76" i="4" s="1"/>
  <c r="BI76" i="4" s="1"/>
  <c r="L75" i="4"/>
  <c r="L73" i="4"/>
  <c r="L72" i="4"/>
  <c r="M72" i="4" s="1"/>
  <c r="BI72" i="4" s="1"/>
  <c r="L71" i="4"/>
  <c r="M71" i="4" s="1"/>
  <c r="BI71" i="4" s="1"/>
  <c r="L69" i="4"/>
  <c r="L68" i="4"/>
  <c r="L67" i="4"/>
  <c r="M67" i="4" s="1"/>
  <c r="BI67" i="4" s="1"/>
  <c r="L65" i="4"/>
  <c r="M65" i="4" s="1"/>
  <c r="BI65" i="4" s="1"/>
  <c r="L64" i="4"/>
  <c r="L63" i="4"/>
  <c r="L61" i="4"/>
  <c r="M61" i="4" s="1"/>
  <c r="BI61" i="4" s="1"/>
  <c r="L60" i="4"/>
  <c r="M60" i="4" s="1"/>
  <c r="BI60" i="4" s="1"/>
  <c r="L59" i="4"/>
  <c r="L57" i="4"/>
  <c r="L56" i="4"/>
  <c r="L55" i="4"/>
  <c r="M55" i="4" s="1"/>
  <c r="BI55" i="4" s="1"/>
  <c r="L53" i="4"/>
  <c r="L52" i="4"/>
  <c r="L51" i="4"/>
  <c r="M51" i="4" s="1"/>
  <c r="BI51" i="4" s="1"/>
  <c r="L49" i="4"/>
  <c r="M49" i="4" s="1"/>
  <c r="BI49" i="4" s="1"/>
  <c r="L48" i="4"/>
  <c r="L47" i="4"/>
  <c r="L45" i="4"/>
  <c r="M45" i="4" s="1"/>
  <c r="BI45" i="4" s="1"/>
  <c r="L44" i="4"/>
  <c r="M44" i="4" s="1"/>
  <c r="BI44" i="4" s="1"/>
  <c r="L43" i="4"/>
  <c r="L41" i="4"/>
  <c r="L40" i="4"/>
  <c r="M40" i="4" s="1"/>
  <c r="BI40" i="4" s="1"/>
  <c r="L39" i="4"/>
  <c r="M39" i="4" s="1"/>
  <c r="BI39" i="4" s="1"/>
  <c r="L37" i="4"/>
  <c r="L36" i="4"/>
  <c r="L35" i="4"/>
  <c r="L33" i="4"/>
  <c r="M33" i="4" s="1"/>
  <c r="BI33" i="4" s="1"/>
  <c r="L32" i="4"/>
  <c r="L31" i="4"/>
  <c r="L29" i="4"/>
  <c r="M29" i="4" s="1"/>
  <c r="BI29" i="4" s="1"/>
  <c r="L28" i="4"/>
  <c r="M28" i="4" s="1"/>
  <c r="BI28" i="4" s="1"/>
  <c r="L27" i="4"/>
  <c r="L25" i="4"/>
  <c r="L24" i="4"/>
  <c r="M24" i="4" s="1"/>
  <c r="BI24" i="4" s="1"/>
  <c r="L23" i="4"/>
  <c r="M23" i="4" s="1"/>
  <c r="BI23" i="4" s="1"/>
  <c r="L21" i="4"/>
  <c r="L20" i="4"/>
  <c r="L19" i="4"/>
  <c r="L17" i="4"/>
  <c r="M17" i="4" s="1"/>
  <c r="BI17" i="4" s="1"/>
  <c r="L16" i="4"/>
  <c r="L15" i="4"/>
  <c r="L13" i="4"/>
  <c r="M13" i="4" s="1"/>
  <c r="BI13" i="4" s="1"/>
  <c r="L12" i="4"/>
  <c r="M12" i="4" s="1"/>
  <c r="BI12" i="4" s="1"/>
  <c r="L11" i="4"/>
  <c r="L9" i="4"/>
  <c r="L8" i="4"/>
  <c r="M8" i="4" s="1"/>
  <c r="BI8" i="4" s="1"/>
  <c r="L7" i="4"/>
  <c r="L7" i="4" a="1"/>
  <c r="L110" i="4" s="1"/>
  <c r="J108" i="4"/>
  <c r="J103" i="4"/>
  <c r="J97" i="4"/>
  <c r="K97" i="4" s="1"/>
  <c r="BH97" i="4" s="1"/>
  <c r="J92" i="4"/>
  <c r="J87" i="4"/>
  <c r="J81" i="4"/>
  <c r="J76" i="4"/>
  <c r="K76" i="4" s="1"/>
  <c r="BH76" i="4" s="1"/>
  <c r="J71" i="4"/>
  <c r="J65" i="4"/>
  <c r="J61" i="4"/>
  <c r="J57" i="4"/>
  <c r="K57" i="4" s="1"/>
  <c r="BH57" i="4" s="1"/>
  <c r="J53" i="4"/>
  <c r="J49" i="4"/>
  <c r="J45" i="4"/>
  <c r="J41" i="4"/>
  <c r="K41" i="4" s="1"/>
  <c r="BH41" i="4" s="1"/>
  <c r="J37" i="4"/>
  <c r="J33" i="4"/>
  <c r="J29" i="4"/>
  <c r="J25" i="4"/>
  <c r="K25" i="4" s="1"/>
  <c r="BH25" i="4" s="1"/>
  <c r="J21" i="4"/>
  <c r="J17" i="4"/>
  <c r="J13" i="4"/>
  <c r="J9" i="4"/>
  <c r="K9" i="4" s="1"/>
  <c r="BH9" i="4" s="1"/>
  <c r="J7" i="4" a="1"/>
  <c r="J111" i="4" s="1"/>
  <c r="H109" i="4"/>
  <c r="H105" i="4"/>
  <c r="H101" i="4"/>
  <c r="I101" i="4" s="1"/>
  <c r="BG101" i="4" s="1"/>
  <c r="H97" i="4"/>
  <c r="H93" i="4"/>
  <c r="H89" i="4"/>
  <c r="H85" i="4"/>
  <c r="I85" i="4" s="1"/>
  <c r="BG85" i="4" s="1"/>
  <c r="H81" i="4"/>
  <c r="H77" i="4"/>
  <c r="H73" i="4"/>
  <c r="H69" i="4"/>
  <c r="I69" i="4" s="1"/>
  <c r="BG69" i="4" s="1"/>
  <c r="H65" i="4"/>
  <c r="H61" i="4"/>
  <c r="H57" i="4"/>
  <c r="H53" i="4"/>
  <c r="I53" i="4" s="1"/>
  <c r="BG53" i="4" s="1"/>
  <c r="H49" i="4"/>
  <c r="H45" i="4"/>
  <c r="H41" i="4"/>
  <c r="H37" i="4"/>
  <c r="I37" i="4" s="1"/>
  <c r="BG37" i="4" s="1"/>
  <c r="H33" i="4"/>
  <c r="H29" i="4"/>
  <c r="H25" i="4"/>
  <c r="H21" i="4"/>
  <c r="I21" i="4" s="1"/>
  <c r="BG21" i="4" s="1"/>
  <c r="H17" i="4"/>
  <c r="H13" i="4"/>
  <c r="H9" i="4"/>
  <c r="H7" i="4" a="1"/>
  <c r="H112" i="4" s="1"/>
  <c r="I112" i="4" s="1"/>
  <c r="BG112" i="4" s="1"/>
  <c r="F109" i="4"/>
  <c r="G109" i="4" s="1"/>
  <c r="BF109" i="4" s="1"/>
  <c r="F105" i="4"/>
  <c r="G105" i="4" s="1"/>
  <c r="BF105" i="4" s="1"/>
  <c r="F101" i="4"/>
  <c r="G101" i="4" s="1"/>
  <c r="BF101" i="4" s="1"/>
  <c r="F97" i="4"/>
  <c r="G97" i="4" s="1"/>
  <c r="BF97" i="4" s="1"/>
  <c r="F93" i="4"/>
  <c r="G93" i="4" s="1"/>
  <c r="BF93" i="4" s="1"/>
  <c r="F89" i="4"/>
  <c r="G89" i="4" s="1"/>
  <c r="BF89" i="4" s="1"/>
  <c r="F85" i="4"/>
  <c r="G85" i="4" s="1"/>
  <c r="BF85" i="4" s="1"/>
  <c r="F81" i="4"/>
  <c r="G81" i="4" s="1"/>
  <c r="BF81" i="4" s="1"/>
  <c r="F77" i="4"/>
  <c r="G77" i="4" s="1"/>
  <c r="BF77" i="4" s="1"/>
  <c r="F73" i="4"/>
  <c r="G73" i="4" s="1"/>
  <c r="BF73" i="4" s="1"/>
  <c r="F69" i="4"/>
  <c r="G69" i="4" s="1"/>
  <c r="BF69" i="4" s="1"/>
  <c r="F65" i="4"/>
  <c r="G65" i="4" s="1"/>
  <c r="BF65" i="4" s="1"/>
  <c r="F61" i="4"/>
  <c r="G61" i="4" s="1"/>
  <c r="BF61" i="4" s="1"/>
  <c r="F57" i="4"/>
  <c r="G57" i="4" s="1"/>
  <c r="F53" i="4"/>
  <c r="G53" i="4" s="1"/>
  <c r="BF53" i="4" s="1"/>
  <c r="F49" i="4"/>
  <c r="G49" i="4" s="1"/>
  <c r="BF49" i="4" s="1"/>
  <c r="F45" i="4"/>
  <c r="G45" i="4" s="1"/>
  <c r="BF45" i="4" s="1"/>
  <c r="F41" i="4"/>
  <c r="G41" i="4" s="1"/>
  <c r="BF41" i="4" s="1"/>
  <c r="F37" i="4"/>
  <c r="G37" i="4" s="1"/>
  <c r="BF37" i="4" s="1"/>
  <c r="F33" i="4"/>
  <c r="G33" i="4" s="1"/>
  <c r="BF33" i="4" s="1"/>
  <c r="F29" i="4"/>
  <c r="G29" i="4" s="1"/>
  <c r="BF29" i="4" s="1"/>
  <c r="F25" i="4"/>
  <c r="G25" i="4" s="1"/>
  <c r="BF25" i="4" s="1"/>
  <c r="F21" i="4"/>
  <c r="G21" i="4" s="1"/>
  <c r="BF21" i="4" s="1"/>
  <c r="F17" i="4"/>
  <c r="G17" i="4" s="1"/>
  <c r="BF17" i="4" s="1"/>
  <c r="F13" i="4"/>
  <c r="G13" i="4" s="1"/>
  <c r="BF13" i="4" s="1"/>
  <c r="F9" i="4"/>
  <c r="G9" i="4" s="1"/>
  <c r="BF9" i="4" s="1"/>
  <c r="F7" i="4" a="1"/>
  <c r="F112" i="4" s="1"/>
  <c r="G112" i="4" s="1"/>
  <c r="BF112" i="4" s="1"/>
  <c r="D109" i="4"/>
  <c r="E109" i="4" s="1"/>
  <c r="D105" i="4"/>
  <c r="E105" i="4" s="1"/>
  <c r="D101" i="4"/>
  <c r="E101" i="4" s="1"/>
  <c r="D97" i="4"/>
  <c r="E97" i="4" s="1"/>
  <c r="D93" i="4"/>
  <c r="E93" i="4" s="1"/>
  <c r="D89" i="4"/>
  <c r="E89" i="4" s="1"/>
  <c r="D85" i="4"/>
  <c r="E85" i="4" s="1"/>
  <c r="D81" i="4"/>
  <c r="E81" i="4" s="1"/>
  <c r="D77" i="4"/>
  <c r="E77" i="4" s="1"/>
  <c r="D73" i="4"/>
  <c r="E73" i="4" s="1"/>
  <c r="D69" i="4"/>
  <c r="E69" i="4" s="1"/>
  <c r="D65" i="4"/>
  <c r="E65" i="4" s="1"/>
  <c r="D61" i="4"/>
  <c r="E61" i="4" s="1"/>
  <c r="D57" i="4"/>
  <c r="E57" i="4" s="1"/>
  <c r="D53" i="4"/>
  <c r="E53" i="4" s="1"/>
  <c r="D49" i="4"/>
  <c r="E49" i="4" s="1"/>
  <c r="D45" i="4"/>
  <c r="E45" i="4" s="1"/>
  <c r="D41" i="4"/>
  <c r="E41" i="4" s="1"/>
  <c r="D37" i="4"/>
  <c r="E37" i="4" s="1"/>
  <c r="D33" i="4"/>
  <c r="E33" i="4" s="1"/>
  <c r="D29" i="4"/>
  <c r="E29" i="4" s="1"/>
  <c r="D25" i="4"/>
  <c r="E25" i="4" s="1"/>
  <c r="D21" i="4"/>
  <c r="E21" i="4" s="1"/>
  <c r="D17" i="4"/>
  <c r="E17" i="4" s="1"/>
  <c r="D13" i="4"/>
  <c r="E13" i="4" s="1"/>
  <c r="D9" i="4"/>
  <c r="E9" i="4" s="1"/>
  <c r="D7" i="4" a="1"/>
  <c r="D112" i="4" s="1"/>
  <c r="E112" i="4" s="1"/>
  <c r="F110" i="3"/>
  <c r="C110" i="3"/>
  <c r="G110" i="3" s="1"/>
  <c r="F109" i="3"/>
  <c r="C109" i="3"/>
  <c r="F108" i="3"/>
  <c r="C108" i="3"/>
  <c r="G107" i="3"/>
  <c r="F107" i="3"/>
  <c r="C107" i="3"/>
  <c r="F106" i="3"/>
  <c r="C106" i="3"/>
  <c r="G106" i="3" s="1"/>
  <c r="F105" i="3"/>
  <c r="C105" i="3"/>
  <c r="F104" i="3"/>
  <c r="C104" i="3"/>
  <c r="F103" i="3"/>
  <c r="C103" i="3"/>
  <c r="F102" i="3"/>
  <c r="C102" i="3"/>
  <c r="G102" i="3" s="1"/>
  <c r="F101" i="3"/>
  <c r="C101" i="3"/>
  <c r="G101" i="3" s="1"/>
  <c r="F100" i="3"/>
  <c r="C100" i="3"/>
  <c r="F99" i="3"/>
  <c r="C99" i="3"/>
  <c r="F98" i="3"/>
  <c r="C98" i="3"/>
  <c r="G98" i="3" s="1"/>
  <c r="F97" i="3"/>
  <c r="C97" i="3"/>
  <c r="G97" i="3" s="1"/>
  <c r="F96" i="3"/>
  <c r="C96" i="3"/>
  <c r="G95" i="3"/>
  <c r="F95" i="3"/>
  <c r="C95" i="3"/>
  <c r="F94" i="3"/>
  <c r="C94" i="3"/>
  <c r="G94" i="3" s="1"/>
  <c r="F93" i="3"/>
  <c r="C93" i="3"/>
  <c r="G93" i="3" s="1"/>
  <c r="F92" i="3"/>
  <c r="C92" i="3"/>
  <c r="G91" i="3"/>
  <c r="F91" i="3"/>
  <c r="C91" i="3"/>
  <c r="F90" i="3"/>
  <c r="C90" i="3"/>
  <c r="G90" i="3" s="1"/>
  <c r="F89" i="3"/>
  <c r="C89" i="3"/>
  <c r="G89" i="3" s="1"/>
  <c r="F88" i="3"/>
  <c r="C88" i="3"/>
  <c r="F87" i="3"/>
  <c r="C87" i="3"/>
  <c r="F86" i="3"/>
  <c r="C86" i="3"/>
  <c r="G86" i="3" s="1"/>
  <c r="F85" i="3"/>
  <c r="C85" i="3"/>
  <c r="G85" i="3" s="1"/>
  <c r="F84" i="3"/>
  <c r="C84" i="3"/>
  <c r="G83" i="3"/>
  <c r="F83" i="3"/>
  <c r="C83" i="3"/>
  <c r="F82" i="3"/>
  <c r="C82" i="3"/>
  <c r="G82" i="3" s="1"/>
  <c r="F81" i="3"/>
  <c r="C81" i="3"/>
  <c r="G81" i="3" s="1"/>
  <c r="F80" i="3"/>
  <c r="C80" i="3"/>
  <c r="G79" i="3"/>
  <c r="F79" i="3"/>
  <c r="C79" i="3"/>
  <c r="F78" i="3"/>
  <c r="C78" i="3"/>
  <c r="G78" i="3" s="1"/>
  <c r="F77" i="3"/>
  <c r="C77" i="3"/>
  <c r="G77" i="3" s="1"/>
  <c r="F76" i="3"/>
  <c r="C76" i="3"/>
  <c r="F75" i="3"/>
  <c r="C75" i="3"/>
  <c r="G75" i="3" s="1"/>
  <c r="F74" i="3"/>
  <c r="C74" i="3"/>
  <c r="G74" i="3" s="1"/>
  <c r="F73" i="3"/>
  <c r="C73" i="3"/>
  <c r="G73" i="3" s="1"/>
  <c r="F72" i="3"/>
  <c r="C72" i="3"/>
  <c r="F71" i="3"/>
  <c r="C71" i="3"/>
  <c r="F70" i="3"/>
  <c r="C70" i="3"/>
  <c r="G70" i="3" s="1"/>
  <c r="F69" i="3"/>
  <c r="C69" i="3"/>
  <c r="G69" i="3" s="1"/>
  <c r="F68" i="3"/>
  <c r="C68" i="3"/>
  <c r="G67" i="3"/>
  <c r="F67" i="3"/>
  <c r="C67" i="3"/>
  <c r="F66" i="3"/>
  <c r="C66" i="3"/>
  <c r="G66" i="3" s="1"/>
  <c r="F65" i="3"/>
  <c r="C65" i="3"/>
  <c r="G65" i="3" s="1"/>
  <c r="F64" i="3"/>
  <c r="C64" i="3"/>
  <c r="F63" i="3"/>
  <c r="C63" i="3"/>
  <c r="F62" i="3"/>
  <c r="C62" i="3"/>
  <c r="F61" i="3"/>
  <c r="C61" i="3"/>
  <c r="G61" i="3" s="1"/>
  <c r="F60" i="3"/>
  <c r="C60" i="3"/>
  <c r="G60" i="3" s="1"/>
  <c r="F59" i="3"/>
  <c r="C59" i="3"/>
  <c r="G58" i="3"/>
  <c r="F58" i="3"/>
  <c r="C58" i="3"/>
  <c r="F57" i="3"/>
  <c r="C57" i="3"/>
  <c r="G57" i="3" s="1"/>
  <c r="F56" i="3"/>
  <c r="C56" i="3"/>
  <c r="G56" i="3" s="1"/>
  <c r="F55" i="3"/>
  <c r="C55" i="3"/>
  <c r="G54" i="3"/>
  <c r="F54" i="3"/>
  <c r="C54" i="3"/>
  <c r="F53" i="3"/>
  <c r="C53" i="3"/>
  <c r="G53" i="3" s="1"/>
  <c r="F52" i="3"/>
  <c r="C52" i="3"/>
  <c r="G52" i="3" s="1"/>
  <c r="F51" i="3"/>
  <c r="C51" i="3"/>
  <c r="F50" i="3"/>
  <c r="C50" i="3"/>
  <c r="G50" i="3" s="1"/>
  <c r="F49" i="3"/>
  <c r="C49" i="3"/>
  <c r="G49" i="3" s="1"/>
  <c r="F48" i="3"/>
  <c r="C48" i="3"/>
  <c r="G48" i="3" s="1"/>
  <c r="F47" i="3"/>
  <c r="C47" i="3"/>
  <c r="F46" i="3"/>
  <c r="C46" i="3"/>
  <c r="F45" i="3"/>
  <c r="C45" i="3"/>
  <c r="G45" i="3" s="1"/>
  <c r="F44" i="3"/>
  <c r="C44" i="3"/>
  <c r="G44" i="3" s="1"/>
  <c r="F43" i="3"/>
  <c r="C43" i="3"/>
  <c r="G42" i="3"/>
  <c r="F42" i="3"/>
  <c r="C42" i="3"/>
  <c r="F41" i="3"/>
  <c r="C41" i="3"/>
  <c r="G41" i="3" s="1"/>
  <c r="F40" i="3"/>
  <c r="C40" i="3"/>
  <c r="G40" i="3" s="1"/>
  <c r="F39" i="3"/>
  <c r="C39" i="3"/>
  <c r="G38" i="3"/>
  <c r="F38" i="3"/>
  <c r="C38" i="3"/>
  <c r="F37" i="3"/>
  <c r="C37" i="3"/>
  <c r="G37" i="3" s="1"/>
  <c r="F36" i="3"/>
  <c r="C36" i="3"/>
  <c r="G36" i="3" s="1"/>
  <c r="F35" i="3"/>
  <c r="C35" i="3"/>
  <c r="G34" i="3"/>
  <c r="F34" i="3"/>
  <c r="C34" i="3"/>
  <c r="F33" i="3"/>
  <c r="C33" i="3"/>
  <c r="G33" i="3" s="1"/>
  <c r="F32" i="3"/>
  <c r="C32" i="3"/>
  <c r="F31" i="3"/>
  <c r="C31" i="3"/>
  <c r="F30" i="3"/>
  <c r="C30" i="3"/>
  <c r="F29" i="3"/>
  <c r="C29" i="3"/>
  <c r="G29" i="3" s="1"/>
  <c r="F28" i="3"/>
  <c r="C28" i="3"/>
  <c r="G28" i="3" s="1"/>
  <c r="F27" i="3"/>
  <c r="C27" i="3"/>
  <c r="F26" i="3"/>
  <c r="C26" i="3"/>
  <c r="F25" i="3"/>
  <c r="C25" i="3"/>
  <c r="G25" i="3" s="1"/>
  <c r="F24" i="3"/>
  <c r="C24" i="3"/>
  <c r="G24" i="3" s="1"/>
  <c r="F23" i="3"/>
  <c r="C23" i="3"/>
  <c r="F22" i="3"/>
  <c r="C22" i="3"/>
  <c r="G22" i="3" s="1"/>
  <c r="F21" i="3"/>
  <c r="C21" i="3"/>
  <c r="G21" i="3" s="1"/>
  <c r="F20" i="3"/>
  <c r="C20" i="3"/>
  <c r="G20" i="3" s="1"/>
  <c r="F19" i="3"/>
  <c r="C19" i="3"/>
  <c r="G18" i="3"/>
  <c r="F18" i="3"/>
  <c r="C18" i="3"/>
  <c r="F17" i="3"/>
  <c r="C17" i="3"/>
  <c r="G17" i="3" s="1"/>
  <c r="F16" i="3"/>
  <c r="C16" i="3"/>
  <c r="G16" i="3" s="1"/>
  <c r="F15" i="3"/>
  <c r="C15" i="3"/>
  <c r="F14" i="3"/>
  <c r="C14" i="3"/>
  <c r="G14" i="3" s="1"/>
  <c r="F13" i="3"/>
  <c r="C13" i="3"/>
  <c r="G13" i="3" s="1"/>
  <c r="F12" i="3"/>
  <c r="C12" i="3"/>
  <c r="G12" i="3" s="1"/>
  <c r="F11" i="3"/>
  <c r="C11" i="3"/>
  <c r="F10" i="3"/>
  <c r="C10" i="3"/>
  <c r="F9" i="3"/>
  <c r="C9" i="3"/>
  <c r="G9" i="3" s="1"/>
  <c r="F8" i="3"/>
  <c r="C8" i="3"/>
  <c r="G8" i="3" s="1"/>
  <c r="F7" i="3"/>
  <c r="C7" i="3"/>
  <c r="G6" i="3"/>
  <c r="F6" i="3"/>
  <c r="C6" i="3"/>
  <c r="F5" i="3"/>
  <c r="C5" i="3"/>
  <c r="AC84" i="2"/>
  <c r="Y84" i="2"/>
  <c r="AJ84" i="2" s="1"/>
  <c r="S84" i="2"/>
  <c r="R84" i="2"/>
  <c r="Q84" i="2"/>
  <c r="M84" i="2"/>
  <c r="L84" i="2"/>
  <c r="N84" i="2" s="1"/>
  <c r="H84" i="2"/>
  <c r="G84" i="2"/>
  <c r="I84" i="2" s="1"/>
  <c r="D84" i="2"/>
  <c r="Z84" i="2" s="1"/>
  <c r="AJ83" i="2"/>
  <c r="AC83" i="2"/>
  <c r="Z83" i="2"/>
  <c r="Y83" i="2"/>
  <c r="R83" i="2"/>
  <c r="S83" i="2" s="1"/>
  <c r="Q83" i="2"/>
  <c r="N83" i="2"/>
  <c r="M83" i="2"/>
  <c r="L83" i="2"/>
  <c r="H83" i="2"/>
  <c r="G83" i="2"/>
  <c r="I83" i="2" s="1"/>
  <c r="D83" i="2"/>
  <c r="AM83" i="2" s="1"/>
  <c r="AO83" i="2" s="1"/>
  <c r="AM82" i="2"/>
  <c r="AC82" i="2"/>
  <c r="Y82" i="2"/>
  <c r="R82" i="2"/>
  <c r="Q82" i="2"/>
  <c r="S82" i="2" s="1"/>
  <c r="M82" i="2"/>
  <c r="N82" i="2" s="1"/>
  <c r="L82" i="2"/>
  <c r="I82" i="2"/>
  <c r="H82" i="2"/>
  <c r="G82" i="2"/>
  <c r="D82" i="2"/>
  <c r="AJ81" i="2"/>
  <c r="AC81" i="2"/>
  <c r="Y81" i="2"/>
  <c r="R81" i="2"/>
  <c r="Q81" i="2"/>
  <c r="S81" i="2" s="1"/>
  <c r="M81" i="2"/>
  <c r="L81" i="2"/>
  <c r="N81" i="2" s="1"/>
  <c r="H81" i="2"/>
  <c r="I81" i="2" s="1"/>
  <c r="G81" i="2"/>
  <c r="D81" i="2"/>
  <c r="AJ80" i="2"/>
  <c r="AC80" i="2"/>
  <c r="Y80" i="2"/>
  <c r="S80" i="2"/>
  <c r="R80" i="2"/>
  <c r="Q80" i="2"/>
  <c r="M80" i="2"/>
  <c r="L80" i="2"/>
  <c r="N80" i="2" s="1"/>
  <c r="H80" i="2"/>
  <c r="G80" i="2"/>
  <c r="I80" i="2" s="1"/>
  <c r="D80" i="2"/>
  <c r="AO79" i="2"/>
  <c r="AJ79" i="2"/>
  <c r="AC79" i="2"/>
  <c r="Z79" i="2"/>
  <c r="Y79" i="2"/>
  <c r="S79" i="2"/>
  <c r="R79" i="2"/>
  <c r="Q79" i="2"/>
  <c r="N79" i="2"/>
  <c r="M79" i="2"/>
  <c r="L79" i="2"/>
  <c r="H79" i="2"/>
  <c r="G79" i="2"/>
  <c r="I79" i="2" s="1"/>
  <c r="D79" i="2"/>
  <c r="AM79" i="2" s="1"/>
  <c r="AM78" i="2"/>
  <c r="AC78" i="2"/>
  <c r="Y78" i="2"/>
  <c r="R78" i="2"/>
  <c r="Q78" i="2"/>
  <c r="S78" i="2" s="1"/>
  <c r="M78" i="2"/>
  <c r="N78" i="2" s="1"/>
  <c r="L78" i="2"/>
  <c r="I78" i="2"/>
  <c r="H78" i="2"/>
  <c r="G78" i="2"/>
  <c r="D78" i="2"/>
  <c r="AJ77" i="2"/>
  <c r="AC77" i="2"/>
  <c r="Y77" i="2"/>
  <c r="R77" i="2"/>
  <c r="Q77" i="2"/>
  <c r="S77" i="2" s="1"/>
  <c r="M77" i="2"/>
  <c r="L77" i="2"/>
  <c r="I77" i="2"/>
  <c r="H77" i="2"/>
  <c r="G77" i="2"/>
  <c r="D77" i="2"/>
  <c r="AJ76" i="2"/>
  <c r="AC76" i="2"/>
  <c r="Y76" i="2"/>
  <c r="S76" i="2"/>
  <c r="R76" i="2"/>
  <c r="Q76" i="2"/>
  <c r="M76" i="2"/>
  <c r="L76" i="2"/>
  <c r="N76" i="2" s="1"/>
  <c r="H76" i="2"/>
  <c r="G76" i="2"/>
  <c r="D76" i="2"/>
  <c r="AC75" i="2"/>
  <c r="Z75" i="2"/>
  <c r="Y75" i="2"/>
  <c r="AJ75" i="2" s="1"/>
  <c r="S75" i="2"/>
  <c r="R75" i="2"/>
  <c r="Q75" i="2"/>
  <c r="N75" i="2"/>
  <c r="M75" i="2"/>
  <c r="L75" i="2"/>
  <c r="H75" i="2"/>
  <c r="G75" i="2"/>
  <c r="I75" i="2" s="1"/>
  <c r="D75" i="2"/>
  <c r="AM75" i="2" s="1"/>
  <c r="AM74" i="2"/>
  <c r="AC74" i="2"/>
  <c r="Y74" i="2"/>
  <c r="R74" i="2"/>
  <c r="Q74" i="2"/>
  <c r="S74" i="2" s="1"/>
  <c r="M74" i="2"/>
  <c r="N74" i="2" s="1"/>
  <c r="L74" i="2"/>
  <c r="I74" i="2"/>
  <c r="H74" i="2"/>
  <c r="G74" i="2"/>
  <c r="D74" i="2"/>
  <c r="AJ73" i="2"/>
  <c r="AC73" i="2"/>
  <c r="Y73" i="2"/>
  <c r="R73" i="2"/>
  <c r="Q73" i="2"/>
  <c r="S73" i="2" s="1"/>
  <c r="M73" i="2"/>
  <c r="L73" i="2"/>
  <c r="I73" i="2"/>
  <c r="H73" i="2"/>
  <c r="G73" i="2"/>
  <c r="D73" i="2"/>
  <c r="AJ72" i="2"/>
  <c r="AC72" i="2"/>
  <c r="Y72" i="2"/>
  <c r="S72" i="2"/>
  <c r="R72" i="2"/>
  <c r="Q72" i="2"/>
  <c r="M72" i="2"/>
  <c r="L72" i="2"/>
  <c r="N72" i="2" s="1"/>
  <c r="H72" i="2"/>
  <c r="G72" i="2"/>
  <c r="D72" i="2"/>
  <c r="AC71" i="2"/>
  <c r="Z71" i="2"/>
  <c r="Y71" i="2"/>
  <c r="AJ71" i="2" s="1"/>
  <c r="AO71" i="2" s="1"/>
  <c r="S71" i="2"/>
  <c r="R71" i="2"/>
  <c r="Q71" i="2"/>
  <c r="N71" i="2"/>
  <c r="M71" i="2"/>
  <c r="L71" i="2"/>
  <c r="I71" i="2"/>
  <c r="H71" i="2"/>
  <c r="G71" i="2"/>
  <c r="D71" i="2"/>
  <c r="AM71" i="2" s="1"/>
  <c r="AJ70" i="2"/>
  <c r="AC70" i="2"/>
  <c r="Y70" i="2"/>
  <c r="R70" i="2"/>
  <c r="Q70" i="2"/>
  <c r="S70" i="2" s="1"/>
  <c r="M70" i="2"/>
  <c r="L70" i="2"/>
  <c r="I70" i="2"/>
  <c r="H70" i="2"/>
  <c r="G70" i="2"/>
  <c r="D70" i="2"/>
  <c r="Z70" i="2" s="1"/>
  <c r="AJ69" i="2"/>
  <c r="AC69" i="2"/>
  <c r="Z69" i="2"/>
  <c r="Y69" i="2"/>
  <c r="R69" i="2"/>
  <c r="S69" i="2" s="1"/>
  <c r="Q69" i="2"/>
  <c r="N69" i="2"/>
  <c r="M69" i="2"/>
  <c r="L69" i="2"/>
  <c r="H69" i="2"/>
  <c r="G69" i="2"/>
  <c r="D69" i="2"/>
  <c r="AO68" i="2"/>
  <c r="AM68" i="2"/>
  <c r="AC68" i="2"/>
  <c r="Y68" i="2"/>
  <c r="AJ68" i="2" s="1"/>
  <c r="R68" i="2"/>
  <c r="S68" i="2" s="1"/>
  <c r="Q68" i="2"/>
  <c r="M68" i="2"/>
  <c r="N68" i="2" s="1"/>
  <c r="L68" i="2"/>
  <c r="I68" i="2"/>
  <c r="H68" i="2"/>
  <c r="G68" i="2"/>
  <c r="D68" i="2"/>
  <c r="AM67" i="2"/>
  <c r="AJ67" i="2"/>
  <c r="AO67" i="2" s="1"/>
  <c r="AC67" i="2"/>
  <c r="Z67" i="2"/>
  <c r="Y67" i="2"/>
  <c r="R67" i="2"/>
  <c r="Q67" i="2"/>
  <c r="S67" i="2" s="1"/>
  <c r="M67" i="2"/>
  <c r="L67" i="2"/>
  <c r="N67" i="2" s="1"/>
  <c r="H67" i="2"/>
  <c r="I67" i="2" s="1"/>
  <c r="G67" i="2"/>
  <c r="D67" i="2"/>
  <c r="AM66" i="2"/>
  <c r="AJ66" i="2"/>
  <c r="AO66" i="2" s="1"/>
  <c r="AC66" i="2"/>
  <c r="Y66" i="2"/>
  <c r="R66" i="2"/>
  <c r="Q66" i="2"/>
  <c r="S66" i="2" s="1"/>
  <c r="M66" i="2"/>
  <c r="L66" i="2"/>
  <c r="N66" i="2" s="1"/>
  <c r="H66" i="2"/>
  <c r="G66" i="2"/>
  <c r="I66" i="2" s="1"/>
  <c r="D66" i="2"/>
  <c r="Z66" i="2" s="1"/>
  <c r="AJ65" i="2"/>
  <c r="AC65" i="2"/>
  <c r="Y65" i="2"/>
  <c r="S65" i="2"/>
  <c r="R65" i="2"/>
  <c r="Q65" i="2"/>
  <c r="M65" i="2"/>
  <c r="L65" i="2"/>
  <c r="N65" i="2" s="1"/>
  <c r="H65" i="2"/>
  <c r="G65" i="2"/>
  <c r="I65" i="2" s="1"/>
  <c r="D65" i="2"/>
  <c r="Z65" i="2" s="1"/>
  <c r="AC64" i="2"/>
  <c r="Z64" i="2"/>
  <c r="Y64" i="2"/>
  <c r="AJ64" i="2" s="1"/>
  <c r="R64" i="2"/>
  <c r="Q64" i="2"/>
  <c r="S64" i="2" s="1"/>
  <c r="M64" i="2"/>
  <c r="L64" i="2"/>
  <c r="N64" i="2" s="1"/>
  <c r="H64" i="2"/>
  <c r="G64" i="2"/>
  <c r="I64" i="2" s="1"/>
  <c r="D64" i="2"/>
  <c r="AJ63" i="2"/>
  <c r="AC63" i="2"/>
  <c r="Z63" i="2"/>
  <c r="Y63" i="2"/>
  <c r="R63" i="2"/>
  <c r="S63" i="2" s="1"/>
  <c r="Q63" i="2"/>
  <c r="N63" i="2"/>
  <c r="M63" i="2"/>
  <c r="L63" i="2"/>
  <c r="H63" i="2"/>
  <c r="G63" i="2"/>
  <c r="I63" i="2" s="1"/>
  <c r="D63" i="2"/>
  <c r="AM63" i="2" s="1"/>
  <c r="AO63" i="2" s="1"/>
  <c r="AM62" i="2"/>
  <c r="AC62" i="2"/>
  <c r="Y62" i="2"/>
  <c r="R62" i="2"/>
  <c r="Q62" i="2"/>
  <c r="S62" i="2" s="1"/>
  <c r="N62" i="2"/>
  <c r="M62" i="2"/>
  <c r="L62" i="2"/>
  <c r="I62" i="2"/>
  <c r="H62" i="2"/>
  <c r="G62" i="2"/>
  <c r="D62" i="2"/>
  <c r="AJ61" i="2"/>
  <c r="AC61" i="2"/>
  <c r="Y61" i="2"/>
  <c r="R61" i="2"/>
  <c r="Q61" i="2"/>
  <c r="S61" i="2" s="1"/>
  <c r="M61" i="2"/>
  <c r="L61" i="2"/>
  <c r="I61" i="2"/>
  <c r="H61" i="2"/>
  <c r="G61" i="2"/>
  <c r="D61" i="2"/>
  <c r="AJ60" i="2"/>
  <c r="AC60" i="2"/>
  <c r="Y60" i="2"/>
  <c r="S60" i="2"/>
  <c r="R60" i="2"/>
  <c r="Q60" i="2"/>
  <c r="M60" i="2"/>
  <c r="L60" i="2"/>
  <c r="N60" i="2" s="1"/>
  <c r="H60" i="2"/>
  <c r="G60" i="2"/>
  <c r="D60" i="2"/>
  <c r="AO59" i="2"/>
  <c r="AC59" i="2"/>
  <c r="Z59" i="2"/>
  <c r="Y59" i="2"/>
  <c r="AJ59" i="2" s="1"/>
  <c r="S59" i="2"/>
  <c r="R59" i="2"/>
  <c r="Q59" i="2"/>
  <c r="N59" i="2"/>
  <c r="M59" i="2"/>
  <c r="L59" i="2"/>
  <c r="H59" i="2"/>
  <c r="G59" i="2"/>
  <c r="I59" i="2" s="1"/>
  <c r="D59" i="2"/>
  <c r="AM59" i="2" s="1"/>
  <c r="AM58" i="2"/>
  <c r="AC58" i="2"/>
  <c r="Y58" i="2"/>
  <c r="R58" i="2"/>
  <c r="Q58" i="2"/>
  <c r="S58" i="2" s="1"/>
  <c r="N58" i="2"/>
  <c r="M58" i="2"/>
  <c r="L58" i="2"/>
  <c r="I58" i="2"/>
  <c r="H58" i="2"/>
  <c r="G58" i="2"/>
  <c r="D58" i="2"/>
  <c r="AJ57" i="2"/>
  <c r="AC57" i="2"/>
  <c r="Y57" i="2"/>
  <c r="R57" i="2"/>
  <c r="Q57" i="2"/>
  <c r="S57" i="2" s="1"/>
  <c r="M57" i="2"/>
  <c r="L57" i="2"/>
  <c r="N57" i="2" s="1"/>
  <c r="I57" i="2"/>
  <c r="H57" i="2"/>
  <c r="G57" i="2"/>
  <c r="D57" i="2"/>
  <c r="AJ56" i="2"/>
  <c r="AC56" i="2"/>
  <c r="Y56" i="2"/>
  <c r="S56" i="2"/>
  <c r="R56" i="2"/>
  <c r="Q56" i="2"/>
  <c r="M56" i="2"/>
  <c r="L56" i="2"/>
  <c r="N56" i="2" s="1"/>
  <c r="H56" i="2"/>
  <c r="G56" i="2"/>
  <c r="I56" i="2" s="1"/>
  <c r="D56" i="2"/>
  <c r="AC55" i="2"/>
  <c r="Z55" i="2"/>
  <c r="Y55" i="2"/>
  <c r="AJ55" i="2" s="1"/>
  <c r="AO55" i="2" s="1"/>
  <c r="R55" i="2"/>
  <c r="S55" i="2" s="1"/>
  <c r="Q55" i="2"/>
  <c r="N55" i="2"/>
  <c r="M55" i="2"/>
  <c r="L55" i="2"/>
  <c r="H55" i="2"/>
  <c r="G55" i="2"/>
  <c r="I55" i="2" s="1"/>
  <c r="D55" i="2"/>
  <c r="AM55" i="2" s="1"/>
  <c r="AM54" i="2"/>
  <c r="AC54" i="2"/>
  <c r="Y54" i="2"/>
  <c r="R54" i="2"/>
  <c r="Q54" i="2"/>
  <c r="S54" i="2" s="1"/>
  <c r="N54" i="2"/>
  <c r="M54" i="2"/>
  <c r="L54" i="2"/>
  <c r="I54" i="2"/>
  <c r="H54" i="2"/>
  <c r="G54" i="2"/>
  <c r="D54" i="2"/>
  <c r="AJ53" i="2"/>
  <c r="AC53" i="2"/>
  <c r="Y53" i="2"/>
  <c r="R53" i="2"/>
  <c r="Q53" i="2"/>
  <c r="S53" i="2" s="1"/>
  <c r="M53" i="2"/>
  <c r="L53" i="2"/>
  <c r="N53" i="2" s="1"/>
  <c r="I53" i="2"/>
  <c r="H53" i="2"/>
  <c r="G53" i="2"/>
  <c r="D53" i="2"/>
  <c r="AJ52" i="2"/>
  <c r="AC52" i="2"/>
  <c r="Y52" i="2"/>
  <c r="S52" i="2"/>
  <c r="R52" i="2"/>
  <c r="Q52" i="2"/>
  <c r="M52" i="2"/>
  <c r="L52" i="2"/>
  <c r="N52" i="2" s="1"/>
  <c r="H52" i="2"/>
  <c r="G52" i="2"/>
  <c r="I52" i="2" s="1"/>
  <c r="D52" i="2"/>
  <c r="AM51" i="2"/>
  <c r="AC51" i="2"/>
  <c r="Z51" i="2"/>
  <c r="Y51" i="2"/>
  <c r="AJ51" i="2" s="1"/>
  <c r="AO51" i="2" s="1"/>
  <c r="R51" i="2"/>
  <c r="S51" i="2" s="1"/>
  <c r="Q51" i="2"/>
  <c r="N51" i="2"/>
  <c r="M51" i="2"/>
  <c r="L51" i="2"/>
  <c r="H51" i="2"/>
  <c r="G51" i="2"/>
  <c r="I51" i="2" s="1"/>
  <c r="D51" i="2"/>
  <c r="AO50" i="2"/>
  <c r="AM50" i="2"/>
  <c r="AC50" i="2"/>
  <c r="Z50" i="2"/>
  <c r="Y50" i="2"/>
  <c r="AJ50" i="2" s="1"/>
  <c r="R50" i="2"/>
  <c r="Q50" i="2"/>
  <c r="M50" i="2"/>
  <c r="N50" i="2" s="1"/>
  <c r="L50" i="2"/>
  <c r="I50" i="2"/>
  <c r="H50" i="2"/>
  <c r="G50" i="2"/>
  <c r="D50" i="2"/>
  <c r="AM49" i="2"/>
  <c r="AC49" i="2"/>
  <c r="Y49" i="2"/>
  <c r="AJ49" i="2" s="1"/>
  <c r="R49" i="2"/>
  <c r="Q49" i="2"/>
  <c r="S49" i="2" s="1"/>
  <c r="M49" i="2"/>
  <c r="L49" i="2"/>
  <c r="N49" i="2" s="1"/>
  <c r="I49" i="2"/>
  <c r="H49" i="2"/>
  <c r="G49" i="2"/>
  <c r="D49" i="2"/>
  <c r="AJ48" i="2"/>
  <c r="AC48" i="2"/>
  <c r="Y48" i="2"/>
  <c r="R48" i="2"/>
  <c r="S48" i="2" s="1"/>
  <c r="Q48" i="2"/>
  <c r="N48" i="2"/>
  <c r="M48" i="2"/>
  <c r="L48" i="2"/>
  <c r="H48" i="2"/>
  <c r="G48" i="2"/>
  <c r="D48" i="2"/>
  <c r="AM47" i="2"/>
  <c r="AC47" i="2"/>
  <c r="Y47" i="2"/>
  <c r="S47" i="2"/>
  <c r="R47" i="2"/>
  <c r="Q47" i="2"/>
  <c r="N47" i="2"/>
  <c r="M47" i="2"/>
  <c r="L47" i="2"/>
  <c r="H47" i="2"/>
  <c r="G47" i="2"/>
  <c r="I47" i="2" s="1"/>
  <c r="D47" i="2"/>
  <c r="AJ46" i="2"/>
  <c r="AC46" i="2"/>
  <c r="Y46" i="2"/>
  <c r="R46" i="2"/>
  <c r="Q46" i="2"/>
  <c r="S46" i="2" s="1"/>
  <c r="M46" i="2"/>
  <c r="L46" i="2"/>
  <c r="N46" i="2" s="1"/>
  <c r="H46" i="2"/>
  <c r="I46" i="2" s="1"/>
  <c r="G46" i="2"/>
  <c r="D46" i="2"/>
  <c r="AJ45" i="2"/>
  <c r="AC45" i="2"/>
  <c r="Y45" i="2"/>
  <c r="S45" i="2"/>
  <c r="R45" i="2"/>
  <c r="Q45" i="2"/>
  <c r="M45" i="2"/>
  <c r="L45" i="2"/>
  <c r="I45" i="2"/>
  <c r="H45" i="2"/>
  <c r="G45" i="2"/>
  <c r="D45" i="2"/>
  <c r="AJ44" i="2"/>
  <c r="AC44" i="2"/>
  <c r="Z44" i="2"/>
  <c r="Y44" i="2"/>
  <c r="S44" i="2"/>
  <c r="R44" i="2"/>
  <c r="Q44" i="2"/>
  <c r="M44" i="2"/>
  <c r="L44" i="2"/>
  <c r="N44" i="2" s="1"/>
  <c r="H44" i="2"/>
  <c r="G44" i="2"/>
  <c r="I44" i="2" s="1"/>
  <c r="D44" i="2"/>
  <c r="AM43" i="2"/>
  <c r="AO43" i="2" s="1"/>
  <c r="AC43" i="2"/>
  <c r="Z43" i="2"/>
  <c r="Y43" i="2"/>
  <c r="AJ43" i="2" s="1"/>
  <c r="R43" i="2"/>
  <c r="Q43" i="2"/>
  <c r="S43" i="2" s="1"/>
  <c r="M43" i="2"/>
  <c r="N43" i="2" s="1"/>
  <c r="L43" i="2"/>
  <c r="I43" i="2"/>
  <c r="H43" i="2"/>
  <c r="G43" i="2"/>
  <c r="D43" i="2"/>
  <c r="AC42" i="2"/>
  <c r="Y42" i="2"/>
  <c r="Z42" i="2" s="1"/>
  <c r="R42" i="2"/>
  <c r="Q42" i="2"/>
  <c r="N42" i="2"/>
  <c r="M42" i="2"/>
  <c r="L42" i="2"/>
  <c r="I42" i="2"/>
  <c r="H42" i="2"/>
  <c r="G42" i="2"/>
  <c r="D42" i="2"/>
  <c r="AM42" i="2" s="1"/>
  <c r="AC41" i="2"/>
  <c r="Y41" i="2"/>
  <c r="AJ41" i="2" s="1"/>
  <c r="AO41" i="2" s="1"/>
  <c r="R41" i="2"/>
  <c r="Q41" i="2"/>
  <c r="S41" i="2" s="1"/>
  <c r="M41" i="2"/>
  <c r="L41" i="2"/>
  <c r="N41" i="2" s="1"/>
  <c r="H41" i="2"/>
  <c r="G41" i="2"/>
  <c r="I41" i="2" s="1"/>
  <c r="D41" i="2"/>
  <c r="AM41" i="2" s="1"/>
  <c r="AJ40" i="2"/>
  <c r="AC40" i="2"/>
  <c r="Y40" i="2"/>
  <c r="R40" i="2"/>
  <c r="S40" i="2" s="1"/>
  <c r="Q40" i="2"/>
  <c r="N40" i="2"/>
  <c r="M40" i="2"/>
  <c r="L40" i="2"/>
  <c r="H40" i="2"/>
  <c r="G40" i="2"/>
  <c r="D40" i="2"/>
  <c r="AJ39" i="2"/>
  <c r="AC39" i="2"/>
  <c r="Y39" i="2"/>
  <c r="S39" i="2"/>
  <c r="R39" i="2"/>
  <c r="Q39" i="2"/>
  <c r="M39" i="2"/>
  <c r="L39" i="2"/>
  <c r="N39" i="2" s="1"/>
  <c r="H39" i="2"/>
  <c r="G39" i="2"/>
  <c r="I39" i="2" s="1"/>
  <c r="D39" i="2"/>
  <c r="AO38" i="2"/>
  <c r="AM38" i="2"/>
  <c r="AC38" i="2"/>
  <c r="Z38" i="2"/>
  <c r="Y38" i="2"/>
  <c r="AJ38" i="2" s="1"/>
  <c r="R38" i="2"/>
  <c r="S38" i="2" s="1"/>
  <c r="Q38" i="2"/>
  <c r="N38" i="2"/>
  <c r="M38" i="2"/>
  <c r="L38" i="2"/>
  <c r="H38" i="2"/>
  <c r="G38" i="2"/>
  <c r="I38" i="2" s="1"/>
  <c r="D38" i="2"/>
  <c r="AM37" i="2"/>
  <c r="AC37" i="2"/>
  <c r="Y37" i="2"/>
  <c r="AJ37" i="2" s="1"/>
  <c r="AO37" i="2" s="1"/>
  <c r="R37" i="2"/>
  <c r="Q37" i="2"/>
  <c r="S37" i="2" s="1"/>
  <c r="M37" i="2"/>
  <c r="N37" i="2" s="1"/>
  <c r="L37" i="2"/>
  <c r="I37" i="2"/>
  <c r="H37" i="2"/>
  <c r="G37" i="2"/>
  <c r="D37" i="2"/>
  <c r="AJ36" i="2"/>
  <c r="AC36" i="2"/>
  <c r="Y36" i="2"/>
  <c r="R36" i="2"/>
  <c r="Q36" i="2"/>
  <c r="S36" i="2" s="1"/>
  <c r="M36" i="2"/>
  <c r="L36" i="2"/>
  <c r="N36" i="2" s="1"/>
  <c r="I36" i="2"/>
  <c r="H36" i="2"/>
  <c r="G36" i="2"/>
  <c r="D36" i="2"/>
  <c r="Z36" i="2" s="1"/>
  <c r="AJ35" i="2"/>
  <c r="AC35" i="2"/>
  <c r="Y35" i="2"/>
  <c r="S35" i="2"/>
  <c r="R35" i="2"/>
  <c r="Q35" i="2"/>
  <c r="M35" i="2"/>
  <c r="L35" i="2"/>
  <c r="N35" i="2" s="1"/>
  <c r="H35" i="2"/>
  <c r="G35" i="2"/>
  <c r="I35" i="2" s="1"/>
  <c r="D35" i="2"/>
  <c r="AM34" i="2"/>
  <c r="AC34" i="2"/>
  <c r="Z34" i="2"/>
  <c r="Y34" i="2"/>
  <c r="AJ34" i="2" s="1"/>
  <c r="AO34" i="2" s="1"/>
  <c r="R34" i="2"/>
  <c r="S34" i="2" s="1"/>
  <c r="Q34" i="2"/>
  <c r="N34" i="2"/>
  <c r="M34" i="2"/>
  <c r="L34" i="2"/>
  <c r="H34" i="2"/>
  <c r="G34" i="2"/>
  <c r="I34" i="2" s="1"/>
  <c r="D34" i="2"/>
  <c r="AO33" i="2"/>
  <c r="AM33" i="2"/>
  <c r="AC33" i="2"/>
  <c r="Z33" i="2"/>
  <c r="Y33" i="2"/>
  <c r="AJ33" i="2" s="1"/>
  <c r="R33" i="2"/>
  <c r="Q33" i="2"/>
  <c r="M33" i="2"/>
  <c r="N33" i="2" s="1"/>
  <c r="L33" i="2"/>
  <c r="I33" i="2"/>
  <c r="H33" i="2"/>
  <c r="G33" i="2"/>
  <c r="D33" i="2"/>
  <c r="AM32" i="2"/>
  <c r="AC32" i="2"/>
  <c r="Y32" i="2"/>
  <c r="AJ32" i="2" s="1"/>
  <c r="AO32" i="2" s="1"/>
  <c r="R32" i="2"/>
  <c r="Q32" i="2"/>
  <c r="S32" i="2" s="1"/>
  <c r="M32" i="2"/>
  <c r="L32" i="2"/>
  <c r="N32" i="2" s="1"/>
  <c r="H32" i="2"/>
  <c r="I32" i="2" s="1"/>
  <c r="G32" i="2"/>
  <c r="D32" i="2"/>
  <c r="AJ31" i="2"/>
  <c r="AC31" i="2"/>
  <c r="Y31" i="2"/>
  <c r="S31" i="2"/>
  <c r="R31" i="2"/>
  <c r="Q31" i="2"/>
  <c r="M31" i="2"/>
  <c r="L31" i="2"/>
  <c r="N31" i="2" s="1"/>
  <c r="H31" i="2"/>
  <c r="G31" i="2"/>
  <c r="I31" i="2" s="1"/>
  <c r="D31" i="2"/>
  <c r="AO30" i="2"/>
  <c r="AM30" i="2"/>
  <c r="AC30" i="2"/>
  <c r="Z30" i="2"/>
  <c r="Y30" i="2"/>
  <c r="AJ30" i="2" s="1"/>
  <c r="S30" i="2"/>
  <c r="R30" i="2"/>
  <c r="Q30" i="2"/>
  <c r="N30" i="2"/>
  <c r="M30" i="2"/>
  <c r="L30" i="2"/>
  <c r="H30" i="2"/>
  <c r="G30" i="2"/>
  <c r="I30" i="2" s="1"/>
  <c r="D30" i="2"/>
  <c r="AM29" i="2"/>
  <c r="AC29" i="2"/>
  <c r="Y29" i="2"/>
  <c r="AJ29" i="2" s="1"/>
  <c r="AO29" i="2" s="1"/>
  <c r="R29" i="2"/>
  <c r="Q29" i="2"/>
  <c r="S29" i="2" s="1"/>
  <c r="M29" i="2"/>
  <c r="N29" i="2" s="1"/>
  <c r="L29" i="2"/>
  <c r="I29" i="2"/>
  <c r="H29" i="2"/>
  <c r="G29" i="2"/>
  <c r="D29" i="2"/>
  <c r="AJ28" i="2"/>
  <c r="AC28" i="2"/>
  <c r="Y28" i="2"/>
  <c r="R28" i="2"/>
  <c r="Q28" i="2"/>
  <c r="S28" i="2" s="1"/>
  <c r="M28" i="2"/>
  <c r="L28" i="2"/>
  <c r="H28" i="2"/>
  <c r="I28" i="2" s="1"/>
  <c r="G28" i="2"/>
  <c r="D28" i="2"/>
  <c r="Z28" i="2" s="1"/>
  <c r="AJ27" i="2"/>
  <c r="AC27" i="2"/>
  <c r="Z27" i="2"/>
  <c r="Y27" i="2"/>
  <c r="R27" i="2"/>
  <c r="S27" i="2" s="1"/>
  <c r="Q27" i="2"/>
  <c r="N27" i="2"/>
  <c r="M27" i="2"/>
  <c r="L27" i="2"/>
  <c r="H27" i="2"/>
  <c r="G27" i="2"/>
  <c r="D27" i="2"/>
  <c r="AO26" i="2"/>
  <c r="AM26" i="2"/>
  <c r="AC26" i="2"/>
  <c r="Y26" i="2"/>
  <c r="AJ26" i="2" s="1"/>
  <c r="R26" i="2"/>
  <c r="S26" i="2" s="1"/>
  <c r="Q26" i="2"/>
  <c r="M26" i="2"/>
  <c r="N26" i="2" s="1"/>
  <c r="L26" i="2"/>
  <c r="I26" i="2"/>
  <c r="H26" i="2"/>
  <c r="G26" i="2"/>
  <c r="D26" i="2"/>
  <c r="AM25" i="2"/>
  <c r="AJ25" i="2"/>
  <c r="AO25" i="2" s="1"/>
  <c r="AC25" i="2"/>
  <c r="Z25" i="2"/>
  <c r="Y25" i="2"/>
  <c r="R25" i="2"/>
  <c r="Q25" i="2"/>
  <c r="S25" i="2" s="1"/>
  <c r="M25" i="2"/>
  <c r="L25" i="2"/>
  <c r="N25" i="2" s="1"/>
  <c r="H25" i="2"/>
  <c r="I25" i="2" s="1"/>
  <c r="G25" i="2"/>
  <c r="D25" i="2"/>
  <c r="AM24" i="2"/>
  <c r="AJ24" i="2"/>
  <c r="AO24" i="2" s="1"/>
  <c r="AC24" i="2"/>
  <c r="Y24" i="2"/>
  <c r="R24" i="2"/>
  <c r="Q24" i="2"/>
  <c r="S24" i="2" s="1"/>
  <c r="M24" i="2"/>
  <c r="N24" i="2" s="1"/>
  <c r="L24" i="2"/>
  <c r="I24" i="2"/>
  <c r="H24" i="2"/>
  <c r="G24" i="2"/>
  <c r="D24" i="2"/>
  <c r="Z24" i="2" s="1"/>
  <c r="AJ23" i="2"/>
  <c r="AC23" i="2"/>
  <c r="Y23" i="2"/>
  <c r="R23" i="2"/>
  <c r="Q23" i="2"/>
  <c r="S23" i="2" s="1"/>
  <c r="M23" i="2"/>
  <c r="L23" i="2"/>
  <c r="N23" i="2" s="1"/>
  <c r="H23" i="2"/>
  <c r="I23" i="2" s="1"/>
  <c r="G23" i="2"/>
  <c r="D23" i="2"/>
  <c r="AM23" i="2" s="1"/>
  <c r="AJ22" i="2"/>
  <c r="AC22" i="2"/>
  <c r="Y22" i="2"/>
  <c r="S22" i="2"/>
  <c r="R22" i="2"/>
  <c r="Q22" i="2"/>
  <c r="M22" i="2"/>
  <c r="L22" i="2"/>
  <c r="N22" i="2" s="1"/>
  <c r="H22" i="2"/>
  <c r="G22" i="2"/>
  <c r="I22" i="2" s="1"/>
  <c r="D22" i="2"/>
  <c r="Z22" i="2" s="1"/>
  <c r="AJ21" i="2"/>
  <c r="AC21" i="2"/>
  <c r="Z21" i="2"/>
  <c r="Y21" i="2"/>
  <c r="R21" i="2"/>
  <c r="S21" i="2" s="1"/>
  <c r="Q21" i="2"/>
  <c r="N21" i="2"/>
  <c r="M21" i="2"/>
  <c r="L21" i="2"/>
  <c r="H21" i="2"/>
  <c r="G21" i="2"/>
  <c r="I21" i="2" s="1"/>
  <c r="D21" i="2"/>
  <c r="AM21" i="2" s="1"/>
  <c r="AO21" i="2" s="1"/>
  <c r="AM20" i="2"/>
  <c r="AC20" i="2"/>
  <c r="Y20" i="2"/>
  <c r="AJ20" i="2" s="1"/>
  <c r="AO20" i="2" s="1"/>
  <c r="R20" i="2"/>
  <c r="Q20" i="2"/>
  <c r="S20" i="2" s="1"/>
  <c r="M20" i="2"/>
  <c r="N20" i="2" s="1"/>
  <c r="L20" i="2"/>
  <c r="I20" i="2"/>
  <c r="H20" i="2"/>
  <c r="G20" i="2"/>
  <c r="D20" i="2"/>
  <c r="AJ19" i="2"/>
  <c r="AC19" i="2"/>
  <c r="Y19" i="2"/>
  <c r="R19" i="2"/>
  <c r="Q19" i="2"/>
  <c r="S19" i="2" s="1"/>
  <c r="M19" i="2"/>
  <c r="L19" i="2"/>
  <c r="N19" i="2" s="1"/>
  <c r="H19" i="2"/>
  <c r="I19" i="2" s="1"/>
  <c r="G19" i="2"/>
  <c r="D19" i="2"/>
  <c r="AM19" i="2" s="1"/>
  <c r="AJ18" i="2"/>
  <c r="AC18" i="2"/>
  <c r="Y18" i="2"/>
  <c r="S18" i="2"/>
  <c r="R18" i="2"/>
  <c r="Q18" i="2"/>
  <c r="M18" i="2"/>
  <c r="L18" i="2"/>
  <c r="N18" i="2" s="1"/>
  <c r="H18" i="2"/>
  <c r="G18" i="2"/>
  <c r="I18" i="2" s="1"/>
  <c r="D18" i="2"/>
  <c r="Z18" i="2" s="1"/>
  <c r="AC17" i="2"/>
  <c r="Z17" i="2"/>
  <c r="Y17" i="2"/>
  <c r="AJ17" i="2" s="1"/>
  <c r="R17" i="2"/>
  <c r="S17" i="2" s="1"/>
  <c r="Q17" i="2"/>
  <c r="N17" i="2"/>
  <c r="M17" i="2"/>
  <c r="L17" i="2"/>
  <c r="H17" i="2"/>
  <c r="G17" i="2"/>
  <c r="I17" i="2" s="1"/>
  <c r="D17" i="2"/>
  <c r="AM17" i="2" s="1"/>
  <c r="AM16" i="2"/>
  <c r="AC16" i="2"/>
  <c r="Y16" i="2"/>
  <c r="AJ16" i="2" s="1"/>
  <c r="AO16" i="2" s="1"/>
  <c r="R16" i="2"/>
  <c r="Q16" i="2"/>
  <c r="S16" i="2" s="1"/>
  <c r="M16" i="2"/>
  <c r="N16" i="2" s="1"/>
  <c r="L16" i="2"/>
  <c r="I16" i="2"/>
  <c r="H16" i="2"/>
  <c r="G16" i="2"/>
  <c r="D16" i="2"/>
  <c r="AJ15" i="2"/>
  <c r="AC15" i="2"/>
  <c r="Y15" i="2"/>
  <c r="R15" i="2"/>
  <c r="Q15" i="2"/>
  <c r="S15" i="2" s="1"/>
  <c r="M15" i="2"/>
  <c r="L15" i="2"/>
  <c r="N15" i="2" s="1"/>
  <c r="H15" i="2"/>
  <c r="I15" i="2" s="1"/>
  <c r="G15" i="2"/>
  <c r="D15" i="2"/>
  <c r="AJ14" i="2"/>
  <c r="AC14" i="2"/>
  <c r="Y14" i="2"/>
  <c r="S14" i="2"/>
  <c r="R14" i="2"/>
  <c r="Q14" i="2"/>
  <c r="M14" i="2"/>
  <c r="L14" i="2"/>
  <c r="N14" i="2" s="1"/>
  <c r="H14" i="2"/>
  <c r="G14" i="2"/>
  <c r="I14" i="2" s="1"/>
  <c r="D14" i="2"/>
  <c r="Z14" i="2" s="1"/>
  <c r="AC13" i="2"/>
  <c r="Z13" i="2"/>
  <c r="Y13" i="2"/>
  <c r="AJ13" i="2" s="1"/>
  <c r="AO13" i="2" s="1"/>
  <c r="R13" i="2"/>
  <c r="S13" i="2" s="1"/>
  <c r="Q13" i="2"/>
  <c r="N13" i="2"/>
  <c r="M13" i="2"/>
  <c r="L13" i="2"/>
  <c r="H13" i="2"/>
  <c r="G13" i="2"/>
  <c r="I13" i="2" s="1"/>
  <c r="D13" i="2"/>
  <c r="AM13" i="2" s="1"/>
  <c r="AM12" i="2"/>
  <c r="AC12" i="2"/>
  <c r="Y12" i="2"/>
  <c r="R12" i="2"/>
  <c r="Q12" i="2"/>
  <c r="S12" i="2" s="1"/>
  <c r="M12" i="2"/>
  <c r="N12" i="2" s="1"/>
  <c r="L12" i="2"/>
  <c r="I12" i="2"/>
  <c r="H12" i="2"/>
  <c r="G12" i="2"/>
  <c r="D12" i="2"/>
  <c r="AJ11" i="2"/>
  <c r="AC11" i="2"/>
  <c r="Y11" i="2"/>
  <c r="R11" i="2"/>
  <c r="Q11" i="2"/>
  <c r="S11" i="2" s="1"/>
  <c r="M11" i="2"/>
  <c r="L11" i="2"/>
  <c r="N11" i="2" s="1"/>
  <c r="H11" i="2"/>
  <c r="I11" i="2" s="1"/>
  <c r="G11" i="2"/>
  <c r="D11" i="2"/>
  <c r="AJ10" i="2"/>
  <c r="AC10" i="2"/>
  <c r="Y10" i="2"/>
  <c r="S10" i="2"/>
  <c r="R10" i="2"/>
  <c r="Q10" i="2"/>
  <c r="M10" i="2"/>
  <c r="L10" i="2"/>
  <c r="N10" i="2" s="1"/>
  <c r="H10" i="2"/>
  <c r="G10" i="2"/>
  <c r="I10" i="2" s="1"/>
  <c r="D10" i="2"/>
  <c r="Z10" i="2" s="1"/>
  <c r="AC9" i="2"/>
  <c r="Z9" i="2"/>
  <c r="Y9" i="2"/>
  <c r="AJ9" i="2" s="1"/>
  <c r="AO9" i="2" s="1"/>
  <c r="R9" i="2"/>
  <c r="S9" i="2" s="1"/>
  <c r="Q9" i="2"/>
  <c r="N9" i="2"/>
  <c r="M9" i="2"/>
  <c r="L9" i="2"/>
  <c r="H9" i="2"/>
  <c r="G9" i="2"/>
  <c r="I9" i="2" s="1"/>
  <c r="D9" i="2"/>
  <c r="AM9" i="2" s="1"/>
  <c r="AM8" i="2"/>
  <c r="AC8" i="2"/>
  <c r="Y8" i="2"/>
  <c r="R8" i="2"/>
  <c r="Q8" i="2"/>
  <c r="S8" i="2" s="1"/>
  <c r="M8" i="2"/>
  <c r="N8" i="2" s="1"/>
  <c r="L8" i="2"/>
  <c r="I8" i="2"/>
  <c r="H8" i="2"/>
  <c r="G8" i="2"/>
  <c r="D8" i="2"/>
  <c r="AJ7" i="2"/>
  <c r="AC7" i="2"/>
  <c r="Y7" i="2"/>
  <c r="R7" i="2"/>
  <c r="Q7" i="2"/>
  <c r="S7" i="2" s="1"/>
  <c r="M7" i="2"/>
  <c r="L7" i="2"/>
  <c r="N7" i="2" s="1"/>
  <c r="H7" i="2"/>
  <c r="I7" i="2" s="1"/>
  <c r="G7" i="2"/>
  <c r="D7" i="2"/>
  <c r="AJ6" i="2"/>
  <c r="AC6" i="2"/>
  <c r="Y6" i="2"/>
  <c r="S6" i="2"/>
  <c r="R6" i="2"/>
  <c r="Q6" i="2"/>
  <c r="M6" i="2"/>
  <c r="L6" i="2"/>
  <c r="N6" i="2" s="1"/>
  <c r="H6" i="2"/>
  <c r="G6" i="2"/>
  <c r="I6" i="2" s="1"/>
  <c r="D6" i="2"/>
  <c r="Z6" i="2" s="1"/>
  <c r="AC5" i="2"/>
  <c r="Z5" i="2"/>
  <c r="Y5" i="2"/>
  <c r="AJ5" i="2" s="1"/>
  <c r="R5" i="2"/>
  <c r="Q5" i="2"/>
  <c r="N5" i="2"/>
  <c r="M5" i="2"/>
  <c r="L5" i="2"/>
  <c r="H5" i="2"/>
  <c r="G5" i="2"/>
  <c r="D5" i="2"/>
  <c r="X112" i="1"/>
  <c r="Q112" i="1"/>
  <c r="P112" i="1"/>
  <c r="L112" i="1"/>
  <c r="K112" i="1"/>
  <c r="G112" i="1"/>
  <c r="F112" i="1"/>
  <c r="C112" i="1"/>
  <c r="AB110" i="1"/>
  <c r="Y110" i="1"/>
  <c r="R110" i="1"/>
  <c r="M110" i="1"/>
  <c r="H110" i="1"/>
  <c r="E110" i="1"/>
  <c r="D110" i="1"/>
  <c r="AB109" i="1"/>
  <c r="Y109" i="1"/>
  <c r="R109" i="1"/>
  <c r="M109" i="1"/>
  <c r="H109" i="1"/>
  <c r="E109" i="1"/>
  <c r="D109" i="1"/>
  <c r="AB108" i="1"/>
  <c r="Y108" i="1"/>
  <c r="R108" i="1"/>
  <c r="M108" i="1"/>
  <c r="H108" i="1"/>
  <c r="E108" i="1"/>
  <c r="D108" i="1"/>
  <c r="AB107" i="1"/>
  <c r="Y107" i="1"/>
  <c r="R107" i="1"/>
  <c r="M107" i="1"/>
  <c r="H107" i="1"/>
  <c r="E107" i="1"/>
  <c r="D107" i="1"/>
  <c r="AB106" i="1"/>
  <c r="Y106" i="1"/>
  <c r="R106" i="1"/>
  <c r="M106" i="1"/>
  <c r="H106" i="1"/>
  <c r="E106" i="1"/>
  <c r="D106" i="1"/>
  <c r="AB105" i="1"/>
  <c r="Y105" i="1"/>
  <c r="R105" i="1"/>
  <c r="M105" i="1"/>
  <c r="H105" i="1"/>
  <c r="E105" i="1"/>
  <c r="D105" i="1"/>
  <c r="AB104" i="1"/>
  <c r="Y104" i="1"/>
  <c r="R104" i="1"/>
  <c r="M104" i="1"/>
  <c r="H104" i="1"/>
  <c r="E104" i="1"/>
  <c r="D104" i="1"/>
  <c r="AB103" i="1"/>
  <c r="Y103" i="1"/>
  <c r="R103" i="1"/>
  <c r="M103" i="1"/>
  <c r="H103" i="1"/>
  <c r="E103" i="1"/>
  <c r="D103" i="1"/>
  <c r="AB102" i="1"/>
  <c r="Y102" i="1"/>
  <c r="R102" i="1"/>
  <c r="M102" i="1"/>
  <c r="H102" i="1"/>
  <c r="E102" i="1"/>
  <c r="D102" i="1"/>
  <c r="AB101" i="1"/>
  <c r="Y101" i="1"/>
  <c r="R101" i="1"/>
  <c r="M101" i="1"/>
  <c r="H101" i="1"/>
  <c r="E101" i="1"/>
  <c r="D101" i="1"/>
  <c r="AB100" i="1"/>
  <c r="Y100" i="1"/>
  <c r="R100" i="1"/>
  <c r="M100" i="1"/>
  <c r="H100" i="1"/>
  <c r="E100" i="1"/>
  <c r="D100" i="1"/>
  <c r="AB99" i="1"/>
  <c r="Y99" i="1"/>
  <c r="R99" i="1"/>
  <c r="M99" i="1"/>
  <c r="H99" i="1"/>
  <c r="E99" i="1"/>
  <c r="D99" i="1"/>
  <c r="AB98" i="1"/>
  <c r="Y98" i="1"/>
  <c r="R98" i="1"/>
  <c r="M98" i="1"/>
  <c r="H98" i="1"/>
  <c r="E98" i="1"/>
  <c r="D98" i="1"/>
  <c r="AB97" i="1"/>
  <c r="Y97" i="1"/>
  <c r="R97" i="1"/>
  <c r="M97" i="1"/>
  <c r="H97" i="1"/>
  <c r="E97" i="1"/>
  <c r="D97" i="1"/>
  <c r="AB96" i="1"/>
  <c r="Y96" i="1"/>
  <c r="R96" i="1"/>
  <c r="M96" i="1"/>
  <c r="H96" i="1"/>
  <c r="E96" i="1"/>
  <c r="D96" i="1"/>
  <c r="AB95" i="1"/>
  <c r="Y95" i="1"/>
  <c r="R95" i="1"/>
  <c r="M95" i="1"/>
  <c r="H95" i="1"/>
  <c r="E95" i="1"/>
  <c r="D95" i="1"/>
  <c r="AB94" i="1"/>
  <c r="Y94" i="1"/>
  <c r="R94" i="1"/>
  <c r="M94" i="1"/>
  <c r="H94" i="1"/>
  <c r="E94" i="1"/>
  <c r="D94" i="1"/>
  <c r="AB93" i="1"/>
  <c r="Y93" i="1"/>
  <c r="R93" i="1"/>
  <c r="M93" i="1"/>
  <c r="H93" i="1"/>
  <c r="E93" i="1"/>
  <c r="D93" i="1"/>
  <c r="AB92" i="1"/>
  <c r="Y92" i="1"/>
  <c r="R92" i="1"/>
  <c r="M92" i="1"/>
  <c r="H92" i="1"/>
  <c r="E92" i="1"/>
  <c r="D92" i="1"/>
  <c r="AB91" i="1"/>
  <c r="Y91" i="1"/>
  <c r="R91" i="1"/>
  <c r="M91" i="1"/>
  <c r="H91" i="1"/>
  <c r="E91" i="1"/>
  <c r="D91" i="1"/>
  <c r="AB90" i="1"/>
  <c r="Y90" i="1"/>
  <c r="R90" i="1"/>
  <c r="M90" i="1"/>
  <c r="H90" i="1"/>
  <c r="E90" i="1"/>
  <c r="D90" i="1"/>
  <c r="AB89" i="1"/>
  <c r="Y89" i="1"/>
  <c r="R89" i="1"/>
  <c r="M89" i="1"/>
  <c r="H89" i="1"/>
  <c r="E89" i="1"/>
  <c r="D89" i="1"/>
  <c r="AB88" i="1"/>
  <c r="Y88" i="1"/>
  <c r="R88" i="1"/>
  <c r="M88" i="1"/>
  <c r="H88" i="1"/>
  <c r="E88" i="1"/>
  <c r="D88" i="1"/>
  <c r="AB87" i="1"/>
  <c r="Y87" i="1"/>
  <c r="R87" i="1"/>
  <c r="M87" i="1"/>
  <c r="H87" i="1"/>
  <c r="E87" i="1"/>
  <c r="D87" i="1"/>
  <c r="AB86" i="1"/>
  <c r="Y86" i="1"/>
  <c r="R86" i="1"/>
  <c r="M86" i="1"/>
  <c r="H86" i="1"/>
  <c r="E86" i="1"/>
  <c r="D86" i="1"/>
  <c r="AB85" i="1"/>
  <c r="Y85" i="1"/>
  <c r="R85" i="1"/>
  <c r="M85" i="1"/>
  <c r="H85" i="1"/>
  <c r="E85" i="1"/>
  <c r="D85" i="1"/>
  <c r="AB84" i="1"/>
  <c r="Y84" i="1"/>
  <c r="R84" i="1"/>
  <c r="M84" i="1"/>
  <c r="H84" i="1"/>
  <c r="E84" i="1"/>
  <c r="D84" i="1"/>
  <c r="AB83" i="1"/>
  <c r="Y83" i="1"/>
  <c r="R83" i="1"/>
  <c r="M83" i="1"/>
  <c r="H83" i="1"/>
  <c r="D83" i="1"/>
  <c r="E83" i="1" s="1"/>
  <c r="AB82" i="1"/>
  <c r="Y82" i="1"/>
  <c r="R82" i="1"/>
  <c r="M82" i="1"/>
  <c r="H82" i="1"/>
  <c r="D82" i="1"/>
  <c r="E82" i="1" s="1"/>
  <c r="AB81" i="1"/>
  <c r="Y81" i="1"/>
  <c r="R81" i="1"/>
  <c r="M81" i="1"/>
  <c r="H81" i="1"/>
  <c r="D81" i="1"/>
  <c r="E81" i="1" s="1"/>
  <c r="AB80" i="1"/>
  <c r="Y80" i="1"/>
  <c r="R80" i="1"/>
  <c r="M80" i="1"/>
  <c r="H80" i="1"/>
  <c r="D80" i="1"/>
  <c r="E80" i="1" s="1"/>
  <c r="AB79" i="1"/>
  <c r="Y79" i="1"/>
  <c r="R79" i="1"/>
  <c r="M79" i="1"/>
  <c r="H79" i="1"/>
  <c r="D79" i="1"/>
  <c r="E79" i="1" s="1"/>
  <c r="AB78" i="1"/>
  <c r="Y78" i="1"/>
  <c r="R78" i="1"/>
  <c r="M78" i="1"/>
  <c r="H78" i="1"/>
  <c r="D78" i="1"/>
  <c r="E78" i="1" s="1"/>
  <c r="AB77" i="1"/>
  <c r="Y77" i="1"/>
  <c r="R77" i="1"/>
  <c r="M77" i="1"/>
  <c r="H77" i="1"/>
  <c r="D77" i="1"/>
  <c r="E77" i="1" s="1"/>
  <c r="AB76" i="1"/>
  <c r="Y76" i="1"/>
  <c r="R76" i="1"/>
  <c r="M76" i="1"/>
  <c r="H76" i="1"/>
  <c r="D76" i="1"/>
  <c r="E76" i="1" s="1"/>
  <c r="AB75" i="1"/>
  <c r="Y75" i="1"/>
  <c r="R75" i="1"/>
  <c r="M75" i="1"/>
  <c r="H75" i="1"/>
  <c r="D75" i="1"/>
  <c r="E75" i="1" s="1"/>
  <c r="AB74" i="1"/>
  <c r="Y74" i="1"/>
  <c r="R74" i="1"/>
  <c r="M74" i="1"/>
  <c r="H74" i="1"/>
  <c r="D74" i="1"/>
  <c r="E74" i="1" s="1"/>
  <c r="AB73" i="1"/>
  <c r="Y73" i="1"/>
  <c r="R73" i="1"/>
  <c r="M73" i="1"/>
  <c r="H73" i="1"/>
  <c r="D73" i="1"/>
  <c r="E73" i="1" s="1"/>
  <c r="AB72" i="1"/>
  <c r="Y72" i="1"/>
  <c r="R72" i="1"/>
  <c r="M72" i="1"/>
  <c r="H72" i="1"/>
  <c r="D72" i="1"/>
  <c r="E72" i="1" s="1"/>
  <c r="AB71" i="1"/>
  <c r="Y71" i="1"/>
  <c r="R71" i="1"/>
  <c r="M71" i="1"/>
  <c r="H71" i="1"/>
  <c r="D71" i="1"/>
  <c r="E71" i="1" s="1"/>
  <c r="AB70" i="1"/>
  <c r="Y70" i="1"/>
  <c r="R70" i="1"/>
  <c r="M70" i="1"/>
  <c r="H70" i="1"/>
  <c r="D70" i="1"/>
  <c r="E70" i="1" s="1"/>
  <c r="AB69" i="1"/>
  <c r="Y69" i="1"/>
  <c r="R69" i="1"/>
  <c r="M69" i="1"/>
  <c r="H69" i="1"/>
  <c r="D69" i="1"/>
  <c r="E69" i="1" s="1"/>
  <c r="AB68" i="1"/>
  <c r="Y68" i="1"/>
  <c r="R68" i="1"/>
  <c r="M68" i="1"/>
  <c r="H68" i="1"/>
  <c r="D68" i="1"/>
  <c r="E68" i="1" s="1"/>
  <c r="AB67" i="1"/>
  <c r="Y67" i="1"/>
  <c r="R67" i="1"/>
  <c r="M67" i="1"/>
  <c r="H67" i="1"/>
  <c r="D67" i="1"/>
  <c r="E67" i="1" s="1"/>
  <c r="AB66" i="1"/>
  <c r="Y66" i="1"/>
  <c r="R66" i="1"/>
  <c r="M66" i="1"/>
  <c r="H66" i="1"/>
  <c r="D66" i="1"/>
  <c r="E66" i="1" s="1"/>
  <c r="AB65" i="1"/>
  <c r="Y65" i="1"/>
  <c r="R65" i="1"/>
  <c r="M65" i="1"/>
  <c r="H65" i="1"/>
  <c r="D65" i="1"/>
  <c r="E65" i="1" s="1"/>
  <c r="AB64" i="1"/>
  <c r="Y64" i="1"/>
  <c r="R64" i="1"/>
  <c r="M64" i="1"/>
  <c r="H64" i="1"/>
  <c r="D64" i="1"/>
  <c r="E64" i="1" s="1"/>
  <c r="AB63" i="1"/>
  <c r="Y63" i="1"/>
  <c r="R63" i="1"/>
  <c r="M63" i="1"/>
  <c r="H63" i="1"/>
  <c r="D63" i="1"/>
  <c r="E63" i="1" s="1"/>
  <c r="AB62" i="1"/>
  <c r="Y62" i="1"/>
  <c r="R62" i="1"/>
  <c r="M62" i="1"/>
  <c r="H62" i="1"/>
  <c r="D62" i="1"/>
  <c r="E62" i="1" s="1"/>
  <c r="AB61" i="1"/>
  <c r="Y61" i="1"/>
  <c r="R61" i="1"/>
  <c r="M61" i="1"/>
  <c r="H61" i="1"/>
  <c r="D61" i="1"/>
  <c r="E61" i="1" s="1"/>
  <c r="AB60" i="1"/>
  <c r="Y60" i="1"/>
  <c r="R60" i="1"/>
  <c r="M60" i="1"/>
  <c r="H60" i="1"/>
  <c r="D60" i="1"/>
  <c r="E60" i="1" s="1"/>
  <c r="AB59" i="1"/>
  <c r="Y59" i="1"/>
  <c r="R59" i="1"/>
  <c r="M59" i="1"/>
  <c r="H59" i="1"/>
  <c r="D59" i="1"/>
  <c r="E59" i="1" s="1"/>
  <c r="AB58" i="1"/>
  <c r="Y58" i="1"/>
  <c r="R58" i="1"/>
  <c r="M58" i="1"/>
  <c r="H58" i="1"/>
  <c r="D58" i="1"/>
  <c r="E58" i="1" s="1"/>
  <c r="AB57" i="1"/>
  <c r="Y57" i="1"/>
  <c r="R57" i="1"/>
  <c r="M57" i="1"/>
  <c r="H57" i="1"/>
  <c r="D57" i="1"/>
  <c r="E57" i="1" s="1"/>
  <c r="AB56" i="1"/>
  <c r="Y56" i="1"/>
  <c r="R56" i="1"/>
  <c r="M56" i="1"/>
  <c r="H56" i="1"/>
  <c r="D56" i="1"/>
  <c r="E56" i="1" s="1"/>
  <c r="AB55" i="1"/>
  <c r="Y55" i="1"/>
  <c r="R55" i="1"/>
  <c r="M55" i="1"/>
  <c r="H55" i="1"/>
  <c r="D55" i="1"/>
  <c r="E55" i="1" s="1"/>
  <c r="AB54" i="1"/>
  <c r="Y54" i="1"/>
  <c r="R54" i="1"/>
  <c r="M54" i="1"/>
  <c r="H54" i="1"/>
  <c r="D54" i="1"/>
  <c r="E54" i="1" s="1"/>
  <c r="AB53" i="1"/>
  <c r="Y53" i="1"/>
  <c r="R53" i="1"/>
  <c r="M53" i="1"/>
  <c r="H53" i="1"/>
  <c r="D53" i="1"/>
  <c r="E53" i="1" s="1"/>
  <c r="AB52" i="1"/>
  <c r="Y52" i="1"/>
  <c r="R52" i="1"/>
  <c r="M52" i="1"/>
  <c r="H52" i="1"/>
  <c r="D52" i="1"/>
  <c r="E52" i="1" s="1"/>
  <c r="AB51" i="1"/>
  <c r="Y51" i="1"/>
  <c r="R51" i="1"/>
  <c r="M51" i="1"/>
  <c r="H51" i="1"/>
  <c r="D51" i="1"/>
  <c r="E51" i="1" s="1"/>
  <c r="AB50" i="1"/>
  <c r="Y50" i="1"/>
  <c r="R50" i="1"/>
  <c r="M50" i="1"/>
  <c r="H50" i="1"/>
  <c r="D50" i="1"/>
  <c r="E50" i="1" s="1"/>
  <c r="AB49" i="1"/>
  <c r="Y49" i="1"/>
  <c r="R49" i="1"/>
  <c r="M49" i="1"/>
  <c r="H49" i="1"/>
  <c r="D49" i="1"/>
  <c r="E49" i="1" s="1"/>
  <c r="AB48" i="1"/>
  <c r="Y48" i="1"/>
  <c r="R48" i="1"/>
  <c r="M48" i="1"/>
  <c r="H48" i="1"/>
  <c r="D48" i="1"/>
  <c r="E48" i="1" s="1"/>
  <c r="AB47" i="1"/>
  <c r="Y47" i="1"/>
  <c r="R47" i="1"/>
  <c r="M47" i="1"/>
  <c r="H47" i="1"/>
  <c r="D47" i="1"/>
  <c r="E47" i="1" s="1"/>
  <c r="AB46" i="1"/>
  <c r="Y46" i="1"/>
  <c r="R46" i="1"/>
  <c r="M46" i="1"/>
  <c r="H46" i="1"/>
  <c r="D46" i="1"/>
  <c r="E46" i="1" s="1"/>
  <c r="AB45" i="1"/>
  <c r="Y45" i="1"/>
  <c r="R45" i="1"/>
  <c r="M45" i="1"/>
  <c r="H45" i="1"/>
  <c r="D45" i="1"/>
  <c r="E45" i="1" s="1"/>
  <c r="AB44" i="1"/>
  <c r="Y44" i="1"/>
  <c r="R44" i="1"/>
  <c r="M44" i="1"/>
  <c r="H44" i="1"/>
  <c r="D44" i="1"/>
  <c r="E44" i="1" s="1"/>
  <c r="AB43" i="1"/>
  <c r="Y43" i="1"/>
  <c r="R43" i="1"/>
  <c r="M43" i="1"/>
  <c r="H43" i="1"/>
  <c r="D43" i="1"/>
  <c r="E43" i="1" s="1"/>
  <c r="AB42" i="1"/>
  <c r="Y42" i="1"/>
  <c r="R42" i="1"/>
  <c r="M42" i="1"/>
  <c r="H42" i="1"/>
  <c r="D42" i="1"/>
  <c r="E42" i="1" s="1"/>
  <c r="AB41" i="1"/>
  <c r="Y41" i="1"/>
  <c r="R41" i="1"/>
  <c r="M41" i="1"/>
  <c r="H41" i="1"/>
  <c r="D41" i="1"/>
  <c r="E41" i="1" s="1"/>
  <c r="AB40" i="1"/>
  <c r="Y40" i="1"/>
  <c r="R40" i="1"/>
  <c r="M40" i="1"/>
  <c r="H40" i="1"/>
  <c r="D40" i="1"/>
  <c r="E40" i="1" s="1"/>
  <c r="AB39" i="1"/>
  <c r="Y39" i="1"/>
  <c r="R39" i="1"/>
  <c r="M39" i="1"/>
  <c r="H39" i="1"/>
  <c r="D39" i="1"/>
  <c r="E39" i="1" s="1"/>
  <c r="AB38" i="1"/>
  <c r="Y38" i="1"/>
  <c r="R38" i="1"/>
  <c r="M38" i="1"/>
  <c r="H38" i="1"/>
  <c r="D38" i="1"/>
  <c r="E38" i="1" s="1"/>
  <c r="AB37" i="1"/>
  <c r="Y37" i="1"/>
  <c r="R37" i="1"/>
  <c r="M37" i="1"/>
  <c r="H37" i="1"/>
  <c r="E37" i="1"/>
  <c r="D37" i="1"/>
  <c r="AB36" i="1"/>
  <c r="Y36" i="1"/>
  <c r="R36" i="1"/>
  <c r="M36" i="1"/>
  <c r="H36" i="1"/>
  <c r="E36" i="1"/>
  <c r="D36" i="1"/>
  <c r="AB35" i="1"/>
  <c r="Y35" i="1"/>
  <c r="R35" i="1"/>
  <c r="M35" i="1"/>
  <c r="H35" i="1"/>
  <c r="E35" i="1"/>
  <c r="D35" i="1"/>
  <c r="AB34" i="1"/>
  <c r="Y34" i="1"/>
  <c r="R34" i="1"/>
  <c r="M34" i="1"/>
  <c r="H34" i="1"/>
  <c r="E34" i="1"/>
  <c r="D34" i="1"/>
  <c r="AB33" i="1"/>
  <c r="Y33" i="1"/>
  <c r="R33" i="1"/>
  <c r="M33" i="1"/>
  <c r="H33" i="1"/>
  <c r="E33" i="1"/>
  <c r="D33" i="1"/>
  <c r="AB32" i="1"/>
  <c r="Y32" i="1"/>
  <c r="R32" i="1"/>
  <c r="M32" i="1"/>
  <c r="H32" i="1"/>
  <c r="E32" i="1"/>
  <c r="D32" i="1"/>
  <c r="AB31" i="1"/>
  <c r="Y31" i="1"/>
  <c r="R31" i="1"/>
  <c r="M31" i="1"/>
  <c r="H31" i="1"/>
  <c r="E31" i="1"/>
  <c r="D31" i="1"/>
  <c r="AB30" i="1"/>
  <c r="Y30" i="1"/>
  <c r="R30" i="1"/>
  <c r="M30" i="1"/>
  <c r="H30" i="1"/>
  <c r="E30" i="1"/>
  <c r="D30" i="1"/>
  <c r="AB29" i="1"/>
  <c r="Y29" i="1"/>
  <c r="R29" i="1"/>
  <c r="M29" i="1"/>
  <c r="H29" i="1"/>
  <c r="E29" i="1"/>
  <c r="D29" i="1"/>
  <c r="AB28" i="1"/>
  <c r="Y28" i="1"/>
  <c r="R28" i="1"/>
  <c r="M28" i="1"/>
  <c r="H28" i="1"/>
  <c r="E28" i="1"/>
  <c r="D28" i="1"/>
  <c r="AB27" i="1"/>
  <c r="Y27" i="1"/>
  <c r="R27" i="1"/>
  <c r="M27" i="1"/>
  <c r="H27" i="1"/>
  <c r="E27" i="1"/>
  <c r="D27" i="1"/>
  <c r="AB26" i="1"/>
  <c r="Y26" i="1"/>
  <c r="R26" i="1"/>
  <c r="M26" i="1"/>
  <c r="H26" i="1"/>
  <c r="E26" i="1"/>
  <c r="D26" i="1"/>
  <c r="AB25" i="1"/>
  <c r="Y25" i="1"/>
  <c r="R25" i="1"/>
  <c r="M25" i="1"/>
  <c r="H25" i="1"/>
  <c r="E25" i="1"/>
  <c r="D25" i="1"/>
  <c r="AB24" i="1"/>
  <c r="Y24" i="1"/>
  <c r="R24" i="1"/>
  <c r="M24" i="1"/>
  <c r="H24" i="1"/>
  <c r="E24" i="1"/>
  <c r="D24" i="1"/>
  <c r="AB23" i="1"/>
  <c r="Y23" i="1"/>
  <c r="R23" i="1"/>
  <c r="M23" i="1"/>
  <c r="H23" i="1"/>
  <c r="E23" i="1"/>
  <c r="D23" i="1"/>
  <c r="AB22" i="1"/>
  <c r="Y22" i="1"/>
  <c r="R22" i="1"/>
  <c r="M22" i="1"/>
  <c r="H22" i="1"/>
  <c r="E22" i="1"/>
  <c r="D22" i="1"/>
  <c r="AB21" i="1"/>
  <c r="Y21" i="1"/>
  <c r="R21" i="1"/>
  <c r="M21" i="1"/>
  <c r="H21" i="1"/>
  <c r="E21" i="1"/>
  <c r="D21" i="1"/>
  <c r="AB20" i="1"/>
  <c r="Y20" i="1"/>
  <c r="R20" i="1"/>
  <c r="M20" i="1"/>
  <c r="H20" i="1"/>
  <c r="E20" i="1"/>
  <c r="D20" i="1"/>
  <c r="AB19" i="1"/>
  <c r="Y19" i="1"/>
  <c r="R19" i="1"/>
  <c r="M19" i="1"/>
  <c r="H19" i="1"/>
  <c r="E19" i="1"/>
  <c r="D19" i="1"/>
  <c r="AB18" i="1"/>
  <c r="Y18" i="1"/>
  <c r="R18" i="1"/>
  <c r="M18" i="1"/>
  <c r="H18" i="1"/>
  <c r="E18" i="1"/>
  <c r="D18" i="1"/>
  <c r="AB17" i="1"/>
  <c r="Y17" i="1"/>
  <c r="R17" i="1"/>
  <c r="M17" i="1"/>
  <c r="H17" i="1"/>
  <c r="E17" i="1"/>
  <c r="D17" i="1"/>
  <c r="AB16" i="1"/>
  <c r="Y16" i="1"/>
  <c r="R16" i="1"/>
  <c r="M16" i="1"/>
  <c r="H16" i="1"/>
  <c r="E16" i="1"/>
  <c r="D16" i="1"/>
  <c r="AB15" i="1"/>
  <c r="Y15" i="1"/>
  <c r="R15" i="1"/>
  <c r="M15" i="1"/>
  <c r="H15" i="1"/>
  <c r="E15" i="1"/>
  <c r="D15" i="1"/>
  <c r="AB14" i="1"/>
  <c r="Y14" i="1"/>
  <c r="R14" i="1"/>
  <c r="M14" i="1"/>
  <c r="H14" i="1"/>
  <c r="E14" i="1"/>
  <c r="D14" i="1"/>
  <c r="AB13" i="1"/>
  <c r="Y13" i="1"/>
  <c r="R13" i="1"/>
  <c r="M13" i="1"/>
  <c r="H13" i="1"/>
  <c r="D13" i="1"/>
  <c r="E13" i="1" s="1"/>
  <c r="AB12" i="1"/>
  <c r="Y12" i="1"/>
  <c r="R12" i="1"/>
  <c r="M12" i="1"/>
  <c r="H12" i="1"/>
  <c r="E12" i="1"/>
  <c r="D12" i="1"/>
  <c r="AB11" i="1"/>
  <c r="Y11" i="1"/>
  <c r="R11" i="1"/>
  <c r="M11" i="1"/>
  <c r="H11" i="1"/>
  <c r="D11" i="1"/>
  <c r="E11" i="1" s="1"/>
  <c r="AB10" i="1"/>
  <c r="Y10" i="1"/>
  <c r="R10" i="1"/>
  <c r="M10" i="1"/>
  <c r="H10" i="1"/>
  <c r="E10" i="1"/>
  <c r="D10" i="1"/>
  <c r="AB9" i="1"/>
  <c r="Y9" i="1"/>
  <c r="R9" i="1"/>
  <c r="M9" i="1"/>
  <c r="H9" i="1"/>
  <c r="D9" i="1"/>
  <c r="E9" i="1" s="1"/>
  <c r="AB8" i="1"/>
  <c r="Y8" i="1"/>
  <c r="R8" i="1"/>
  <c r="M8" i="1"/>
  <c r="H8" i="1"/>
  <c r="E8" i="1"/>
  <c r="D8" i="1"/>
  <c r="AB7" i="1"/>
  <c r="Y7" i="1"/>
  <c r="R7" i="1"/>
  <c r="M7" i="1"/>
  <c r="H7" i="1"/>
  <c r="D7" i="1"/>
  <c r="E7" i="1" s="1"/>
  <c r="AB6" i="1"/>
  <c r="Y6" i="1"/>
  <c r="R6" i="1"/>
  <c r="M6" i="1"/>
  <c r="H6" i="1"/>
  <c r="E6" i="1"/>
  <c r="D6" i="1"/>
  <c r="AB5" i="1"/>
  <c r="Y5" i="1"/>
  <c r="R5" i="1"/>
  <c r="M5" i="1"/>
  <c r="H5" i="1"/>
  <c r="D5" i="1"/>
  <c r="I13" i="4" l="1"/>
  <c r="BG13" i="4" s="1"/>
  <c r="I29" i="4"/>
  <c r="BG29" i="4" s="1"/>
  <c r="I45" i="4"/>
  <c r="BG45" i="4" s="1"/>
  <c r="I61" i="4"/>
  <c r="BG61" i="4" s="1"/>
  <c r="I77" i="4"/>
  <c r="BG77" i="4" s="1"/>
  <c r="I93" i="4"/>
  <c r="BG93" i="4" s="1"/>
  <c r="I109" i="4"/>
  <c r="BG109" i="4" s="1"/>
  <c r="K17" i="4"/>
  <c r="BH17" i="4" s="1"/>
  <c r="K33" i="4"/>
  <c r="BH33" i="4" s="1"/>
  <c r="K49" i="4"/>
  <c r="BH49" i="4" s="1"/>
  <c r="K65" i="4"/>
  <c r="BH65" i="4" s="1"/>
  <c r="K87" i="4"/>
  <c r="BH87" i="4" s="1"/>
  <c r="K108" i="4"/>
  <c r="BH108" i="4" s="1"/>
  <c r="M9" i="4"/>
  <c r="BI9" i="4" s="1"/>
  <c r="M15" i="4"/>
  <c r="BI15" i="4" s="1"/>
  <c r="M20" i="4"/>
  <c r="BI20" i="4" s="1"/>
  <c r="M25" i="4"/>
  <c r="BI25" i="4" s="1"/>
  <c r="M31" i="4"/>
  <c r="BI31" i="4" s="1"/>
  <c r="M36" i="4"/>
  <c r="BI36" i="4" s="1"/>
  <c r="M41" i="4"/>
  <c r="BI41" i="4" s="1"/>
  <c r="M47" i="4"/>
  <c r="BI47" i="4" s="1"/>
  <c r="M52" i="4"/>
  <c r="BI52" i="4" s="1"/>
  <c r="M57" i="4"/>
  <c r="M63" i="4"/>
  <c r="BI63" i="4" s="1"/>
  <c r="M68" i="4"/>
  <c r="BI68" i="4" s="1"/>
  <c r="M73" i="4"/>
  <c r="BI73" i="4" s="1"/>
  <c r="M79" i="4"/>
  <c r="BI79" i="4" s="1"/>
  <c r="M84" i="4"/>
  <c r="BI84" i="4" s="1"/>
  <c r="M89" i="4"/>
  <c r="BI89" i="4" s="1"/>
  <c r="M95" i="4"/>
  <c r="BI95" i="4" s="1"/>
  <c r="M100" i="4"/>
  <c r="BI100" i="4" s="1"/>
  <c r="M105" i="4"/>
  <c r="BI105" i="4" s="1"/>
  <c r="M111" i="4"/>
  <c r="BI111" i="4" s="1"/>
  <c r="S108" i="4"/>
  <c r="BL108" i="4" s="1"/>
  <c r="S26" i="4"/>
  <c r="BL26" i="4" s="1"/>
  <c r="S47" i="4"/>
  <c r="BL47" i="4" s="1"/>
  <c r="S68" i="4"/>
  <c r="BL68" i="4" s="1"/>
  <c r="S90" i="4"/>
  <c r="BL90" i="4" s="1"/>
  <c r="S111" i="4"/>
  <c r="BL111" i="4" s="1"/>
  <c r="U10" i="4"/>
  <c r="BM10" i="4" s="1"/>
  <c r="U18" i="4"/>
  <c r="BM18" i="4" s="1"/>
  <c r="U24" i="4"/>
  <c r="BM24" i="4" s="1"/>
  <c r="U31" i="4"/>
  <c r="BM31" i="4" s="1"/>
  <c r="U48" i="4"/>
  <c r="BM48" i="4" s="1"/>
  <c r="U59" i="4"/>
  <c r="BM59" i="4" s="1"/>
  <c r="U71" i="4"/>
  <c r="BM71" i="4" s="1"/>
  <c r="U80" i="4"/>
  <c r="BM80" i="4" s="1"/>
  <c r="U91" i="4"/>
  <c r="BM91" i="4" s="1"/>
  <c r="U103" i="4"/>
  <c r="BM103" i="4" s="1"/>
  <c r="BJ5" i="4"/>
  <c r="I9" i="4"/>
  <c r="BG9" i="4" s="1"/>
  <c r="I25" i="4"/>
  <c r="BG25" i="4" s="1"/>
  <c r="I41" i="4"/>
  <c r="BG41" i="4" s="1"/>
  <c r="I57" i="4"/>
  <c r="BG57" i="4" s="1"/>
  <c r="I73" i="4"/>
  <c r="BG73" i="4" s="1"/>
  <c r="I89" i="4"/>
  <c r="BG89" i="4" s="1"/>
  <c r="I105" i="4"/>
  <c r="BG105" i="4" s="1"/>
  <c r="K13" i="4"/>
  <c r="BH13" i="4" s="1"/>
  <c r="K29" i="4"/>
  <c r="BH29" i="4" s="1"/>
  <c r="K45" i="4"/>
  <c r="BH45" i="4" s="1"/>
  <c r="K61" i="4"/>
  <c r="BH61" i="4" s="1"/>
  <c r="K81" i="4"/>
  <c r="BH81" i="4" s="1"/>
  <c r="K103" i="4"/>
  <c r="BH103" i="4" s="1"/>
  <c r="S20" i="4"/>
  <c r="BL20" i="4" s="1"/>
  <c r="S42" i="4"/>
  <c r="BL42" i="4" s="1"/>
  <c r="S63" i="4"/>
  <c r="BL63" i="4" s="1"/>
  <c r="S84" i="4"/>
  <c r="BL84" i="4" s="1"/>
  <c r="S106" i="4"/>
  <c r="BL106" i="4" s="1"/>
  <c r="I17" i="4"/>
  <c r="BG17" i="4" s="1"/>
  <c r="I33" i="4"/>
  <c r="BG33" i="4" s="1"/>
  <c r="I49" i="4"/>
  <c r="BG49" i="4" s="1"/>
  <c r="I65" i="4"/>
  <c r="BG65" i="4" s="1"/>
  <c r="I81" i="4"/>
  <c r="BG81" i="4" s="1"/>
  <c r="I97" i="4"/>
  <c r="BG97" i="4" s="1"/>
  <c r="K111" i="4"/>
  <c r="BH111" i="4" s="1"/>
  <c r="K21" i="4"/>
  <c r="BH21" i="4" s="1"/>
  <c r="K37" i="4"/>
  <c r="BH37" i="4" s="1"/>
  <c r="K53" i="4"/>
  <c r="BH53" i="4" s="1"/>
  <c r="K71" i="4"/>
  <c r="BH71" i="4" s="1"/>
  <c r="K92" i="4"/>
  <c r="BH92" i="4" s="1"/>
  <c r="M110" i="4"/>
  <c r="BI110" i="4" s="1"/>
  <c r="M11" i="4"/>
  <c r="BI11" i="4" s="1"/>
  <c r="M16" i="4"/>
  <c r="BI16" i="4" s="1"/>
  <c r="M21" i="4"/>
  <c r="BI21" i="4" s="1"/>
  <c r="M27" i="4"/>
  <c r="BI27" i="4" s="1"/>
  <c r="M32" i="4"/>
  <c r="BI32" i="4" s="1"/>
  <c r="M37" i="4"/>
  <c r="BI37" i="4" s="1"/>
  <c r="M43" i="4"/>
  <c r="BI43" i="4" s="1"/>
  <c r="M48" i="4"/>
  <c r="BI48" i="4" s="1"/>
  <c r="M53" i="4"/>
  <c r="BI53" i="4" s="1"/>
  <c r="M59" i="4"/>
  <c r="BI59" i="4" s="1"/>
  <c r="M64" i="4"/>
  <c r="BI64" i="4" s="1"/>
  <c r="M69" i="4"/>
  <c r="BI69" i="4" s="1"/>
  <c r="M75" i="4"/>
  <c r="BI75" i="4" s="1"/>
  <c r="M80" i="4"/>
  <c r="BI80" i="4" s="1"/>
  <c r="M85" i="4"/>
  <c r="BI85" i="4" s="1"/>
  <c r="M91" i="4"/>
  <c r="BI91" i="4" s="1"/>
  <c r="M96" i="4"/>
  <c r="BI96" i="4" s="1"/>
  <c r="M101" i="4"/>
  <c r="BI101" i="4" s="1"/>
  <c r="M107" i="4"/>
  <c r="BI107" i="4" s="1"/>
  <c r="M112" i="4"/>
  <c r="BI112" i="4" s="1"/>
  <c r="S10" i="4"/>
  <c r="BL10" i="4" s="1"/>
  <c r="S31" i="4"/>
  <c r="BL31" i="4" s="1"/>
  <c r="S52" i="4"/>
  <c r="BL52" i="4" s="1"/>
  <c r="S74" i="4"/>
  <c r="BL74" i="4" s="1"/>
  <c r="S95" i="4"/>
  <c r="BL95" i="4" s="1"/>
  <c r="U12" i="4"/>
  <c r="BM12" i="4" s="1"/>
  <c r="U19" i="4"/>
  <c r="BM19" i="4" s="1"/>
  <c r="U26" i="4"/>
  <c r="BM26" i="4" s="1"/>
  <c r="U34" i="4"/>
  <c r="BM34" i="4" s="1"/>
  <c r="U40" i="4"/>
  <c r="BM40" i="4" s="1"/>
  <c r="U51" i="4"/>
  <c r="BM51" i="4" s="1"/>
  <c r="U63" i="4"/>
  <c r="BM63" i="4" s="1"/>
  <c r="U72" i="4"/>
  <c r="BM72" i="4" s="1"/>
  <c r="U83" i="4"/>
  <c r="BM83" i="4" s="1"/>
  <c r="U95" i="4"/>
  <c r="BM95" i="4" s="1"/>
  <c r="U104" i="4"/>
  <c r="BM104" i="4" s="1"/>
  <c r="BE13" i="4"/>
  <c r="BE45" i="4"/>
  <c r="BE112" i="4"/>
  <c r="BE21" i="4"/>
  <c r="BE37" i="4"/>
  <c r="BE29" i="4"/>
  <c r="BE9" i="4"/>
  <c r="BE25" i="4"/>
  <c r="BE41" i="4"/>
  <c r="BE53" i="4"/>
  <c r="BE61" i="4"/>
  <c r="BE69" i="4"/>
  <c r="BE81" i="4"/>
  <c r="BE89" i="4"/>
  <c r="BE97" i="4"/>
  <c r="BE109" i="4"/>
  <c r="P109" i="4"/>
  <c r="Q109" i="4" s="1"/>
  <c r="BK109" i="4" s="1"/>
  <c r="P105" i="4"/>
  <c r="Q105" i="4" s="1"/>
  <c r="BK105" i="4" s="1"/>
  <c r="P101" i="4"/>
  <c r="Q101" i="4" s="1"/>
  <c r="BK101" i="4" s="1"/>
  <c r="P97" i="4"/>
  <c r="Q97" i="4" s="1"/>
  <c r="BK97" i="4" s="1"/>
  <c r="P93" i="4"/>
  <c r="Q93" i="4" s="1"/>
  <c r="BK93" i="4" s="1"/>
  <c r="P89" i="4"/>
  <c r="Q89" i="4" s="1"/>
  <c r="BK89" i="4" s="1"/>
  <c r="P85" i="4"/>
  <c r="Q85" i="4" s="1"/>
  <c r="BK85" i="4" s="1"/>
  <c r="P81" i="4"/>
  <c r="Q81" i="4" s="1"/>
  <c r="BK81" i="4" s="1"/>
  <c r="P77" i="4"/>
  <c r="Q77" i="4" s="1"/>
  <c r="BK77" i="4" s="1"/>
  <c r="P73" i="4"/>
  <c r="Q73" i="4" s="1"/>
  <c r="BK73" i="4" s="1"/>
  <c r="P69" i="4"/>
  <c r="Q69" i="4" s="1"/>
  <c r="BK69" i="4" s="1"/>
  <c r="P65" i="4"/>
  <c r="Q65" i="4" s="1"/>
  <c r="BK65" i="4" s="1"/>
  <c r="P61" i="4"/>
  <c r="Q61" i="4" s="1"/>
  <c r="BK61" i="4" s="1"/>
  <c r="P57" i="4"/>
  <c r="Q57" i="4" s="1"/>
  <c r="P53" i="4"/>
  <c r="Q53" i="4" s="1"/>
  <c r="BK53" i="4" s="1"/>
  <c r="P49" i="4"/>
  <c r="Q49" i="4" s="1"/>
  <c r="BK49" i="4" s="1"/>
  <c r="P45" i="4"/>
  <c r="Q45" i="4" s="1"/>
  <c r="BK45" i="4" s="1"/>
  <c r="P41" i="4"/>
  <c r="Q41" i="4" s="1"/>
  <c r="BK41" i="4" s="1"/>
  <c r="P37" i="4"/>
  <c r="Q37" i="4" s="1"/>
  <c r="BK37" i="4" s="1"/>
  <c r="P33" i="4"/>
  <c r="Q33" i="4" s="1"/>
  <c r="BK33" i="4" s="1"/>
  <c r="P29" i="4"/>
  <c r="Q29" i="4" s="1"/>
  <c r="BK29" i="4" s="1"/>
  <c r="P25" i="4"/>
  <c r="Q25" i="4" s="1"/>
  <c r="BK25" i="4" s="1"/>
  <c r="P21" i="4"/>
  <c r="Q21" i="4" s="1"/>
  <c r="BK21" i="4" s="1"/>
  <c r="P17" i="4"/>
  <c r="Q17" i="4" s="1"/>
  <c r="BK17" i="4" s="1"/>
  <c r="P13" i="4"/>
  <c r="Q13" i="4" s="1"/>
  <c r="BK13" i="4" s="1"/>
  <c r="P9" i="4"/>
  <c r="Q9" i="4" s="1"/>
  <c r="BK9" i="4" s="1"/>
  <c r="P16" i="4"/>
  <c r="Q16" i="4" s="1"/>
  <c r="BK16" i="4" s="1"/>
  <c r="P27" i="4"/>
  <c r="Q27" i="4" s="1"/>
  <c r="BK27" i="4" s="1"/>
  <c r="P38" i="4"/>
  <c r="Q38" i="4" s="1"/>
  <c r="BK38" i="4" s="1"/>
  <c r="P48" i="4"/>
  <c r="Q48" i="4" s="1"/>
  <c r="BK48" i="4" s="1"/>
  <c r="P59" i="4"/>
  <c r="Q59" i="4" s="1"/>
  <c r="BK59" i="4" s="1"/>
  <c r="P70" i="4"/>
  <c r="Q70" i="4" s="1"/>
  <c r="BK70" i="4" s="1"/>
  <c r="P86" i="4"/>
  <c r="Q86" i="4" s="1"/>
  <c r="BK86" i="4" s="1"/>
  <c r="P102" i="4"/>
  <c r="Q102" i="4" s="1"/>
  <c r="BK102" i="4" s="1"/>
  <c r="BH113" i="4"/>
  <c r="D10" i="4"/>
  <c r="E10" i="4" s="1"/>
  <c r="D14" i="4"/>
  <c r="E14" i="4" s="1"/>
  <c r="D18" i="4"/>
  <c r="E18" i="4" s="1"/>
  <c r="D22" i="4"/>
  <c r="E22" i="4" s="1"/>
  <c r="D26" i="4"/>
  <c r="E26" i="4" s="1"/>
  <c r="D30" i="4"/>
  <c r="E30" i="4" s="1"/>
  <c r="D34" i="4"/>
  <c r="E34" i="4" s="1"/>
  <c r="D38" i="4"/>
  <c r="E38" i="4" s="1"/>
  <c r="D42" i="4"/>
  <c r="E42" i="4" s="1"/>
  <c r="D46" i="4"/>
  <c r="E46" i="4" s="1"/>
  <c r="D50" i="4"/>
  <c r="E50" i="4" s="1"/>
  <c r="D54" i="4"/>
  <c r="E54" i="4" s="1"/>
  <c r="D58" i="4"/>
  <c r="E58" i="4" s="1"/>
  <c r="D62" i="4"/>
  <c r="E62" i="4" s="1"/>
  <c r="D66" i="4"/>
  <c r="E66" i="4" s="1"/>
  <c r="D70" i="4"/>
  <c r="E70" i="4" s="1"/>
  <c r="D74" i="4"/>
  <c r="E74" i="4" s="1"/>
  <c r="D78" i="4"/>
  <c r="E78" i="4" s="1"/>
  <c r="D82" i="4"/>
  <c r="E82" i="4" s="1"/>
  <c r="D86" i="4"/>
  <c r="E86" i="4" s="1"/>
  <c r="D90" i="4"/>
  <c r="E90" i="4" s="1"/>
  <c r="D94" i="4"/>
  <c r="E94" i="4" s="1"/>
  <c r="D98" i="4"/>
  <c r="E98" i="4" s="1"/>
  <c r="D102" i="4"/>
  <c r="E102" i="4" s="1"/>
  <c r="D106" i="4"/>
  <c r="E106" i="4" s="1"/>
  <c r="D110" i="4"/>
  <c r="E110" i="4" s="1"/>
  <c r="H10" i="4"/>
  <c r="I10" i="4" s="1"/>
  <c r="BG10" i="4" s="1"/>
  <c r="H14" i="4"/>
  <c r="I14" i="4" s="1"/>
  <c r="BG14" i="4" s="1"/>
  <c r="H18" i="4"/>
  <c r="I18" i="4" s="1"/>
  <c r="BG18" i="4" s="1"/>
  <c r="H22" i="4"/>
  <c r="I22" i="4" s="1"/>
  <c r="BG22" i="4" s="1"/>
  <c r="H26" i="4"/>
  <c r="I26" i="4" s="1"/>
  <c r="BG26" i="4" s="1"/>
  <c r="H30" i="4"/>
  <c r="I30" i="4" s="1"/>
  <c r="BG30" i="4" s="1"/>
  <c r="H34" i="4"/>
  <c r="I34" i="4" s="1"/>
  <c r="BG34" i="4" s="1"/>
  <c r="H38" i="4"/>
  <c r="I38" i="4" s="1"/>
  <c r="BG38" i="4" s="1"/>
  <c r="H42" i="4"/>
  <c r="I42" i="4" s="1"/>
  <c r="BG42" i="4" s="1"/>
  <c r="H46" i="4"/>
  <c r="I46" i="4" s="1"/>
  <c r="BG46" i="4" s="1"/>
  <c r="H50" i="4"/>
  <c r="I50" i="4" s="1"/>
  <c r="BG50" i="4" s="1"/>
  <c r="H54" i="4"/>
  <c r="I54" i="4" s="1"/>
  <c r="BG54" i="4" s="1"/>
  <c r="H58" i="4"/>
  <c r="I58" i="4" s="1"/>
  <c r="BG58" i="4" s="1"/>
  <c r="H62" i="4"/>
  <c r="I62" i="4" s="1"/>
  <c r="BG62" i="4" s="1"/>
  <c r="H66" i="4"/>
  <c r="I66" i="4" s="1"/>
  <c r="BG66" i="4" s="1"/>
  <c r="H70" i="4"/>
  <c r="I70" i="4" s="1"/>
  <c r="BG70" i="4" s="1"/>
  <c r="H74" i="4"/>
  <c r="I74" i="4" s="1"/>
  <c r="BG74" i="4" s="1"/>
  <c r="H78" i="4"/>
  <c r="I78" i="4" s="1"/>
  <c r="BG78" i="4" s="1"/>
  <c r="H82" i="4"/>
  <c r="I82" i="4" s="1"/>
  <c r="BG82" i="4" s="1"/>
  <c r="H86" i="4"/>
  <c r="I86" i="4" s="1"/>
  <c r="BG86" i="4" s="1"/>
  <c r="H90" i="4"/>
  <c r="I90" i="4" s="1"/>
  <c r="BG90" i="4" s="1"/>
  <c r="H94" i="4"/>
  <c r="I94" i="4" s="1"/>
  <c r="BG94" i="4" s="1"/>
  <c r="H98" i="4"/>
  <c r="I98" i="4" s="1"/>
  <c r="BG98" i="4" s="1"/>
  <c r="H102" i="4"/>
  <c r="I102" i="4" s="1"/>
  <c r="BG102" i="4" s="1"/>
  <c r="H106" i="4"/>
  <c r="I106" i="4" s="1"/>
  <c r="BG106" i="4" s="1"/>
  <c r="H110" i="4"/>
  <c r="I110" i="4" s="1"/>
  <c r="BG110" i="4" s="1"/>
  <c r="J10" i="4"/>
  <c r="K10" i="4" s="1"/>
  <c r="BH10" i="4" s="1"/>
  <c r="J18" i="4"/>
  <c r="K18" i="4" s="1"/>
  <c r="BH18" i="4" s="1"/>
  <c r="J26" i="4"/>
  <c r="K26" i="4" s="1"/>
  <c r="BH26" i="4" s="1"/>
  <c r="J30" i="4"/>
  <c r="K30" i="4" s="1"/>
  <c r="BH30" i="4" s="1"/>
  <c r="J38" i="4"/>
  <c r="K38" i="4" s="1"/>
  <c r="BH38" i="4" s="1"/>
  <c r="J46" i="4"/>
  <c r="K46" i="4" s="1"/>
  <c r="BH46" i="4" s="1"/>
  <c r="J54" i="4"/>
  <c r="K54" i="4" s="1"/>
  <c r="BH54" i="4" s="1"/>
  <c r="J62" i="4"/>
  <c r="K62" i="4" s="1"/>
  <c r="BH62" i="4" s="1"/>
  <c r="J72" i="4"/>
  <c r="K72" i="4" s="1"/>
  <c r="BH72" i="4" s="1"/>
  <c r="J83" i="4"/>
  <c r="K83" i="4" s="1"/>
  <c r="BH83" i="4" s="1"/>
  <c r="J93" i="4"/>
  <c r="K93" i="4" s="1"/>
  <c r="BH93" i="4" s="1"/>
  <c r="J104" i="4"/>
  <c r="K104" i="4" s="1"/>
  <c r="BH104" i="4" s="1"/>
  <c r="J109" i="4"/>
  <c r="K109" i="4" s="1"/>
  <c r="BH109" i="4" s="1"/>
  <c r="P7" i="4"/>
  <c r="P12" i="4"/>
  <c r="Q12" i="4" s="1"/>
  <c r="BK12" i="4" s="1"/>
  <c r="P18" i="4"/>
  <c r="Q18" i="4" s="1"/>
  <c r="BK18" i="4" s="1"/>
  <c r="P23" i="4"/>
  <c r="Q23" i="4" s="1"/>
  <c r="BK23" i="4" s="1"/>
  <c r="P28" i="4"/>
  <c r="Q28" i="4" s="1"/>
  <c r="BK28" i="4" s="1"/>
  <c r="P34" i="4"/>
  <c r="Q34" i="4" s="1"/>
  <c r="BK34" i="4" s="1"/>
  <c r="P39" i="4"/>
  <c r="Q39" i="4" s="1"/>
  <c r="BK39" i="4" s="1"/>
  <c r="P44" i="4"/>
  <c r="Q44" i="4" s="1"/>
  <c r="BK44" i="4" s="1"/>
  <c r="P50" i="4"/>
  <c r="Q50" i="4" s="1"/>
  <c r="BK50" i="4" s="1"/>
  <c r="P55" i="4"/>
  <c r="Q55" i="4" s="1"/>
  <c r="BK55" i="4" s="1"/>
  <c r="P60" i="4"/>
  <c r="Q60" i="4" s="1"/>
  <c r="BK60" i="4" s="1"/>
  <c r="P66" i="4"/>
  <c r="Q66" i="4" s="1"/>
  <c r="BK66" i="4" s="1"/>
  <c r="P71" i="4"/>
  <c r="Q71" i="4" s="1"/>
  <c r="BK71" i="4" s="1"/>
  <c r="P76" i="4"/>
  <c r="Q76" i="4" s="1"/>
  <c r="BK76" i="4" s="1"/>
  <c r="P82" i="4"/>
  <c r="Q82" i="4" s="1"/>
  <c r="BK82" i="4" s="1"/>
  <c r="P87" i="4"/>
  <c r="Q87" i="4" s="1"/>
  <c r="BK87" i="4" s="1"/>
  <c r="P92" i="4"/>
  <c r="Q92" i="4" s="1"/>
  <c r="BK92" i="4" s="1"/>
  <c r="P98" i="4"/>
  <c r="Q98" i="4" s="1"/>
  <c r="BK98" i="4" s="1"/>
  <c r="P103" i="4"/>
  <c r="Q103" i="4" s="1"/>
  <c r="BK103" i="4" s="1"/>
  <c r="P108" i="4"/>
  <c r="Q108" i="4" s="1"/>
  <c r="BK108" i="4" s="1"/>
  <c r="R11" i="4"/>
  <c r="S11" i="4" s="1"/>
  <c r="BL11" i="4" s="1"/>
  <c r="R22" i="4"/>
  <c r="S22" i="4" s="1"/>
  <c r="BL22" i="4" s="1"/>
  <c r="R27" i="4"/>
  <c r="S27" i="4" s="1"/>
  <c r="BL27" i="4" s="1"/>
  <c r="R38" i="4"/>
  <c r="S38" i="4" s="1"/>
  <c r="BL38" i="4" s="1"/>
  <c r="R48" i="4"/>
  <c r="S48" i="4" s="1"/>
  <c r="BL48" i="4" s="1"/>
  <c r="R59" i="4"/>
  <c r="S59" i="4" s="1"/>
  <c r="BL59" i="4" s="1"/>
  <c r="R70" i="4"/>
  <c r="S70" i="4" s="1"/>
  <c r="BL70" i="4" s="1"/>
  <c r="R75" i="4"/>
  <c r="S75" i="4" s="1"/>
  <c r="BL75" i="4" s="1"/>
  <c r="R86" i="4"/>
  <c r="S86" i="4" s="1"/>
  <c r="BL86" i="4" s="1"/>
  <c r="R91" i="4"/>
  <c r="S91" i="4" s="1"/>
  <c r="BL91" i="4" s="1"/>
  <c r="R102" i="4"/>
  <c r="S102" i="4" s="1"/>
  <c r="BL102" i="4" s="1"/>
  <c r="R107" i="4"/>
  <c r="S107" i="4" s="1"/>
  <c r="BL107" i="4" s="1"/>
  <c r="R112" i="4"/>
  <c r="S112" i="4" s="1"/>
  <c r="BL112" i="4" s="1"/>
  <c r="D7" i="4"/>
  <c r="D11" i="4"/>
  <c r="E11" i="4" s="1"/>
  <c r="D15" i="4"/>
  <c r="E15" i="4" s="1"/>
  <c r="D19" i="4"/>
  <c r="E19" i="4" s="1"/>
  <c r="D23" i="4"/>
  <c r="E23" i="4" s="1"/>
  <c r="D27" i="4"/>
  <c r="E27" i="4" s="1"/>
  <c r="D31" i="4"/>
  <c r="E31" i="4" s="1"/>
  <c r="D35" i="4"/>
  <c r="E35" i="4" s="1"/>
  <c r="D39" i="4"/>
  <c r="E39" i="4" s="1"/>
  <c r="D43" i="4"/>
  <c r="E43" i="4" s="1"/>
  <c r="D47" i="4"/>
  <c r="E47" i="4" s="1"/>
  <c r="D51" i="4"/>
  <c r="E51" i="4" s="1"/>
  <c r="D55" i="4"/>
  <c r="E55" i="4" s="1"/>
  <c r="D59" i="4"/>
  <c r="E59" i="4" s="1"/>
  <c r="D63" i="4"/>
  <c r="E63" i="4" s="1"/>
  <c r="D67" i="4"/>
  <c r="E67" i="4" s="1"/>
  <c r="D71" i="4"/>
  <c r="E71" i="4" s="1"/>
  <c r="D75" i="4"/>
  <c r="E75" i="4" s="1"/>
  <c r="D79" i="4"/>
  <c r="E79" i="4" s="1"/>
  <c r="D83" i="4"/>
  <c r="E83" i="4" s="1"/>
  <c r="D87" i="4"/>
  <c r="E87" i="4" s="1"/>
  <c r="D91" i="4"/>
  <c r="E91" i="4" s="1"/>
  <c r="D95" i="4"/>
  <c r="E95" i="4" s="1"/>
  <c r="D99" i="4"/>
  <c r="E99" i="4" s="1"/>
  <c r="D103" i="4"/>
  <c r="E103" i="4" s="1"/>
  <c r="D107" i="4"/>
  <c r="E107" i="4" s="1"/>
  <c r="D111" i="4"/>
  <c r="E111" i="4" s="1"/>
  <c r="F7" i="4"/>
  <c r="F11" i="4"/>
  <c r="G11" i="4" s="1"/>
  <c r="BF11" i="4" s="1"/>
  <c r="F15" i="4"/>
  <c r="G15" i="4" s="1"/>
  <c r="BF15" i="4" s="1"/>
  <c r="F19" i="4"/>
  <c r="G19" i="4" s="1"/>
  <c r="BF19" i="4" s="1"/>
  <c r="F23" i="4"/>
  <c r="G23" i="4" s="1"/>
  <c r="BF23" i="4" s="1"/>
  <c r="F27" i="4"/>
  <c r="G27" i="4" s="1"/>
  <c r="BF27" i="4" s="1"/>
  <c r="F31" i="4"/>
  <c r="G31" i="4" s="1"/>
  <c r="BF31" i="4" s="1"/>
  <c r="F35" i="4"/>
  <c r="G35" i="4" s="1"/>
  <c r="BF35" i="4" s="1"/>
  <c r="F39" i="4"/>
  <c r="G39" i="4" s="1"/>
  <c r="BF39" i="4" s="1"/>
  <c r="F43" i="4"/>
  <c r="G43" i="4" s="1"/>
  <c r="BF43" i="4" s="1"/>
  <c r="F47" i="4"/>
  <c r="G47" i="4" s="1"/>
  <c r="BF47" i="4" s="1"/>
  <c r="F51" i="4"/>
  <c r="G51" i="4" s="1"/>
  <c r="BF51" i="4" s="1"/>
  <c r="F55" i="4"/>
  <c r="G55" i="4" s="1"/>
  <c r="BF55" i="4" s="1"/>
  <c r="F59" i="4"/>
  <c r="G59" i="4" s="1"/>
  <c r="BF59" i="4" s="1"/>
  <c r="F63" i="4"/>
  <c r="G63" i="4" s="1"/>
  <c r="BF63" i="4" s="1"/>
  <c r="F67" i="4"/>
  <c r="G67" i="4" s="1"/>
  <c r="BF67" i="4" s="1"/>
  <c r="F71" i="4"/>
  <c r="G71" i="4" s="1"/>
  <c r="BF71" i="4" s="1"/>
  <c r="F75" i="4"/>
  <c r="G75" i="4" s="1"/>
  <c r="BF75" i="4" s="1"/>
  <c r="F79" i="4"/>
  <c r="G79" i="4" s="1"/>
  <c r="BF79" i="4" s="1"/>
  <c r="F83" i="4"/>
  <c r="G83" i="4" s="1"/>
  <c r="BF83" i="4" s="1"/>
  <c r="F87" i="4"/>
  <c r="G87" i="4" s="1"/>
  <c r="BF87" i="4" s="1"/>
  <c r="F91" i="4"/>
  <c r="G91" i="4" s="1"/>
  <c r="BF91" i="4" s="1"/>
  <c r="F95" i="4"/>
  <c r="G95" i="4" s="1"/>
  <c r="BF95" i="4" s="1"/>
  <c r="F99" i="4"/>
  <c r="G99" i="4" s="1"/>
  <c r="BF99" i="4" s="1"/>
  <c r="F103" i="4"/>
  <c r="G103" i="4" s="1"/>
  <c r="BF103" i="4" s="1"/>
  <c r="F107" i="4"/>
  <c r="G107" i="4" s="1"/>
  <c r="BF107" i="4" s="1"/>
  <c r="F111" i="4"/>
  <c r="G111" i="4" s="1"/>
  <c r="BF111" i="4" s="1"/>
  <c r="H7" i="4"/>
  <c r="H11" i="4"/>
  <c r="I11" i="4" s="1"/>
  <c r="BG11" i="4" s="1"/>
  <c r="H15" i="4"/>
  <c r="I15" i="4" s="1"/>
  <c r="BG15" i="4" s="1"/>
  <c r="H19" i="4"/>
  <c r="I19" i="4" s="1"/>
  <c r="BG19" i="4" s="1"/>
  <c r="H23" i="4"/>
  <c r="I23" i="4" s="1"/>
  <c r="BG23" i="4" s="1"/>
  <c r="H27" i="4"/>
  <c r="I27" i="4" s="1"/>
  <c r="BG27" i="4" s="1"/>
  <c r="H31" i="4"/>
  <c r="I31" i="4" s="1"/>
  <c r="BG31" i="4" s="1"/>
  <c r="H35" i="4"/>
  <c r="I35" i="4" s="1"/>
  <c r="BG35" i="4" s="1"/>
  <c r="H39" i="4"/>
  <c r="I39" i="4" s="1"/>
  <c r="BG39" i="4" s="1"/>
  <c r="H43" i="4"/>
  <c r="I43" i="4" s="1"/>
  <c r="BG43" i="4" s="1"/>
  <c r="H47" i="4"/>
  <c r="I47" i="4" s="1"/>
  <c r="BG47" i="4" s="1"/>
  <c r="H51" i="4"/>
  <c r="I51" i="4" s="1"/>
  <c r="BG51" i="4" s="1"/>
  <c r="H55" i="4"/>
  <c r="I55" i="4" s="1"/>
  <c r="BG55" i="4" s="1"/>
  <c r="H59" i="4"/>
  <c r="I59" i="4" s="1"/>
  <c r="BG59" i="4" s="1"/>
  <c r="H63" i="4"/>
  <c r="I63" i="4" s="1"/>
  <c r="BG63" i="4" s="1"/>
  <c r="H67" i="4"/>
  <c r="I67" i="4" s="1"/>
  <c r="BG67" i="4" s="1"/>
  <c r="H71" i="4"/>
  <c r="I71" i="4" s="1"/>
  <c r="BG71" i="4" s="1"/>
  <c r="H75" i="4"/>
  <c r="I75" i="4" s="1"/>
  <c r="BG75" i="4" s="1"/>
  <c r="H79" i="4"/>
  <c r="I79" i="4" s="1"/>
  <c r="BG79" i="4" s="1"/>
  <c r="H83" i="4"/>
  <c r="I83" i="4" s="1"/>
  <c r="BG83" i="4" s="1"/>
  <c r="H87" i="4"/>
  <c r="I87" i="4" s="1"/>
  <c r="BG87" i="4" s="1"/>
  <c r="H91" i="4"/>
  <c r="I91" i="4" s="1"/>
  <c r="BG91" i="4" s="1"/>
  <c r="H95" i="4"/>
  <c r="I95" i="4" s="1"/>
  <c r="BG95" i="4" s="1"/>
  <c r="H99" i="4"/>
  <c r="I99" i="4" s="1"/>
  <c r="BG99" i="4" s="1"/>
  <c r="H103" i="4"/>
  <c r="I103" i="4" s="1"/>
  <c r="BG103" i="4" s="1"/>
  <c r="H107" i="4"/>
  <c r="I107" i="4" s="1"/>
  <c r="BG107" i="4" s="1"/>
  <c r="H111" i="4"/>
  <c r="I111" i="4" s="1"/>
  <c r="BG111" i="4" s="1"/>
  <c r="J7" i="4"/>
  <c r="J11" i="4"/>
  <c r="K11" i="4" s="1"/>
  <c r="BH11" i="4" s="1"/>
  <c r="J15" i="4"/>
  <c r="K15" i="4" s="1"/>
  <c r="BH15" i="4" s="1"/>
  <c r="J19" i="4"/>
  <c r="K19" i="4" s="1"/>
  <c r="BH19" i="4" s="1"/>
  <c r="J23" i="4"/>
  <c r="K23" i="4" s="1"/>
  <c r="BH23" i="4" s="1"/>
  <c r="J27" i="4"/>
  <c r="K27" i="4" s="1"/>
  <c r="BH27" i="4" s="1"/>
  <c r="J31" i="4"/>
  <c r="K31" i="4" s="1"/>
  <c r="BH31" i="4" s="1"/>
  <c r="J35" i="4"/>
  <c r="K35" i="4" s="1"/>
  <c r="BH35" i="4" s="1"/>
  <c r="J39" i="4"/>
  <c r="K39" i="4" s="1"/>
  <c r="BH39" i="4" s="1"/>
  <c r="J43" i="4"/>
  <c r="K43" i="4" s="1"/>
  <c r="BH43" i="4" s="1"/>
  <c r="J47" i="4"/>
  <c r="K47" i="4" s="1"/>
  <c r="BH47" i="4" s="1"/>
  <c r="J51" i="4"/>
  <c r="K51" i="4" s="1"/>
  <c r="BH51" i="4" s="1"/>
  <c r="J55" i="4"/>
  <c r="K55" i="4" s="1"/>
  <c r="BH55" i="4" s="1"/>
  <c r="J59" i="4"/>
  <c r="K59" i="4" s="1"/>
  <c r="BH59" i="4" s="1"/>
  <c r="J63" i="4"/>
  <c r="K63" i="4" s="1"/>
  <c r="BH63" i="4" s="1"/>
  <c r="J68" i="4"/>
  <c r="K68" i="4" s="1"/>
  <c r="BH68" i="4" s="1"/>
  <c r="J73" i="4"/>
  <c r="K73" i="4" s="1"/>
  <c r="BH73" i="4" s="1"/>
  <c r="J79" i="4"/>
  <c r="K79" i="4" s="1"/>
  <c r="BH79" i="4" s="1"/>
  <c r="J84" i="4"/>
  <c r="K84" i="4" s="1"/>
  <c r="BH84" i="4" s="1"/>
  <c r="J89" i="4"/>
  <c r="K89" i="4" s="1"/>
  <c r="BH89" i="4" s="1"/>
  <c r="J95" i="4"/>
  <c r="K95" i="4" s="1"/>
  <c r="BH95" i="4" s="1"/>
  <c r="J100" i="4"/>
  <c r="K100" i="4" s="1"/>
  <c r="BH100" i="4" s="1"/>
  <c r="J105" i="4"/>
  <c r="K105" i="4" s="1"/>
  <c r="BH105" i="4" s="1"/>
  <c r="M7" i="4"/>
  <c r="BI7" i="4" s="1"/>
  <c r="P8" i="4"/>
  <c r="Q8" i="4" s="1"/>
  <c r="BK8" i="4" s="1"/>
  <c r="P14" i="4"/>
  <c r="Q14" i="4" s="1"/>
  <c r="BK14" i="4" s="1"/>
  <c r="P19" i="4"/>
  <c r="Q19" i="4" s="1"/>
  <c r="BK19" i="4" s="1"/>
  <c r="P24" i="4"/>
  <c r="Q24" i="4" s="1"/>
  <c r="BK24" i="4" s="1"/>
  <c r="P30" i="4"/>
  <c r="Q30" i="4" s="1"/>
  <c r="BK30" i="4" s="1"/>
  <c r="P35" i="4"/>
  <c r="Q35" i="4" s="1"/>
  <c r="BK35" i="4" s="1"/>
  <c r="P40" i="4"/>
  <c r="Q40" i="4" s="1"/>
  <c r="BK40" i="4" s="1"/>
  <c r="P46" i="4"/>
  <c r="Q46" i="4" s="1"/>
  <c r="BK46" i="4" s="1"/>
  <c r="P51" i="4"/>
  <c r="Q51" i="4" s="1"/>
  <c r="BK51" i="4" s="1"/>
  <c r="P56" i="4"/>
  <c r="P62" i="4"/>
  <c r="Q62" i="4" s="1"/>
  <c r="BK62" i="4" s="1"/>
  <c r="P67" i="4"/>
  <c r="Q67" i="4" s="1"/>
  <c r="BK67" i="4" s="1"/>
  <c r="P72" i="4"/>
  <c r="Q72" i="4" s="1"/>
  <c r="BK72" i="4" s="1"/>
  <c r="P78" i="4"/>
  <c r="Q78" i="4" s="1"/>
  <c r="BK78" i="4" s="1"/>
  <c r="P83" i="4"/>
  <c r="Q83" i="4" s="1"/>
  <c r="BK83" i="4" s="1"/>
  <c r="P88" i="4"/>
  <c r="Q88" i="4" s="1"/>
  <c r="BK88" i="4" s="1"/>
  <c r="P94" i="4"/>
  <c r="Q94" i="4" s="1"/>
  <c r="BK94" i="4" s="1"/>
  <c r="P99" i="4"/>
  <c r="Q99" i="4" s="1"/>
  <c r="BK99" i="4" s="1"/>
  <c r="P104" i="4"/>
  <c r="Q104" i="4" s="1"/>
  <c r="BK104" i="4" s="1"/>
  <c r="P110" i="4"/>
  <c r="Q110" i="4" s="1"/>
  <c r="BK110" i="4" s="1"/>
  <c r="R7" i="4"/>
  <c r="R12" i="4"/>
  <c r="S12" i="4" s="1"/>
  <c r="BL12" i="4" s="1"/>
  <c r="R18" i="4"/>
  <c r="S18" i="4" s="1"/>
  <c r="BL18" i="4" s="1"/>
  <c r="R23" i="4"/>
  <c r="S23" i="4" s="1"/>
  <c r="BL23" i="4" s="1"/>
  <c r="R28" i="4"/>
  <c r="S28" i="4" s="1"/>
  <c r="BL28" i="4" s="1"/>
  <c r="R34" i="4"/>
  <c r="S34" i="4" s="1"/>
  <c r="BL34" i="4" s="1"/>
  <c r="R39" i="4"/>
  <c r="S39" i="4" s="1"/>
  <c r="BL39" i="4" s="1"/>
  <c r="R44" i="4"/>
  <c r="S44" i="4" s="1"/>
  <c r="BL44" i="4" s="1"/>
  <c r="R50" i="4"/>
  <c r="S50" i="4" s="1"/>
  <c r="BL50" i="4" s="1"/>
  <c r="R55" i="4"/>
  <c r="S55" i="4" s="1"/>
  <c r="BL55" i="4" s="1"/>
  <c r="R60" i="4"/>
  <c r="S60" i="4" s="1"/>
  <c r="BL60" i="4" s="1"/>
  <c r="R66" i="4"/>
  <c r="S66" i="4" s="1"/>
  <c r="BL66" i="4" s="1"/>
  <c r="R71" i="4"/>
  <c r="S71" i="4" s="1"/>
  <c r="BL71" i="4" s="1"/>
  <c r="R76" i="4"/>
  <c r="S76" i="4" s="1"/>
  <c r="BL76" i="4" s="1"/>
  <c r="R82" i="4"/>
  <c r="S82" i="4" s="1"/>
  <c r="BL82" i="4" s="1"/>
  <c r="R87" i="4"/>
  <c r="S87" i="4" s="1"/>
  <c r="BL87" i="4" s="1"/>
  <c r="R92" i="4"/>
  <c r="S92" i="4" s="1"/>
  <c r="BL92" i="4" s="1"/>
  <c r="R98" i="4"/>
  <c r="S98" i="4" s="1"/>
  <c r="BL98" i="4" s="1"/>
  <c r="R103" i="4"/>
  <c r="S103" i="4" s="1"/>
  <c r="BL103" i="4" s="1"/>
  <c r="T110" i="4"/>
  <c r="U110" i="4" s="1"/>
  <c r="BM110" i="4" s="1"/>
  <c r="T106" i="4"/>
  <c r="U106" i="4" s="1"/>
  <c r="BM106" i="4" s="1"/>
  <c r="T102" i="4"/>
  <c r="U102" i="4" s="1"/>
  <c r="BM102" i="4" s="1"/>
  <c r="T98" i="4"/>
  <c r="U98" i="4" s="1"/>
  <c r="BM98" i="4" s="1"/>
  <c r="T94" i="4"/>
  <c r="U94" i="4" s="1"/>
  <c r="BM94" i="4" s="1"/>
  <c r="T90" i="4"/>
  <c r="U90" i="4" s="1"/>
  <c r="BM90" i="4" s="1"/>
  <c r="T86" i="4"/>
  <c r="U86" i="4" s="1"/>
  <c r="BM86" i="4" s="1"/>
  <c r="T82" i="4"/>
  <c r="U82" i="4" s="1"/>
  <c r="BM82" i="4" s="1"/>
  <c r="T78" i="4"/>
  <c r="U78" i="4" s="1"/>
  <c r="BM78" i="4" s="1"/>
  <c r="T74" i="4"/>
  <c r="U74" i="4" s="1"/>
  <c r="BM74" i="4" s="1"/>
  <c r="T70" i="4"/>
  <c r="U70" i="4" s="1"/>
  <c r="BM70" i="4" s="1"/>
  <c r="T66" i="4"/>
  <c r="U66" i="4" s="1"/>
  <c r="BM66" i="4" s="1"/>
  <c r="T62" i="4"/>
  <c r="U62" i="4" s="1"/>
  <c r="BM62" i="4" s="1"/>
  <c r="T58" i="4"/>
  <c r="U58" i="4" s="1"/>
  <c r="BM58" i="4" s="1"/>
  <c r="T54" i="4"/>
  <c r="U54" i="4" s="1"/>
  <c r="BM54" i="4" s="1"/>
  <c r="T50" i="4"/>
  <c r="U50" i="4" s="1"/>
  <c r="BM50" i="4" s="1"/>
  <c r="T46" i="4"/>
  <c r="U46" i="4" s="1"/>
  <c r="BM46" i="4" s="1"/>
  <c r="T42" i="4"/>
  <c r="U42" i="4" s="1"/>
  <c r="BM42" i="4" s="1"/>
  <c r="T109" i="4"/>
  <c r="U109" i="4" s="1"/>
  <c r="BM109" i="4" s="1"/>
  <c r="T105" i="4"/>
  <c r="U105" i="4" s="1"/>
  <c r="BM105" i="4" s="1"/>
  <c r="T101" i="4"/>
  <c r="U101" i="4" s="1"/>
  <c r="BM101" i="4" s="1"/>
  <c r="T97" i="4"/>
  <c r="U97" i="4" s="1"/>
  <c r="BM97" i="4" s="1"/>
  <c r="T93" i="4"/>
  <c r="U93" i="4" s="1"/>
  <c r="BM93" i="4" s="1"/>
  <c r="T89" i="4"/>
  <c r="U89" i="4" s="1"/>
  <c r="BM89" i="4" s="1"/>
  <c r="T85" i="4"/>
  <c r="U85" i="4" s="1"/>
  <c r="BM85" i="4" s="1"/>
  <c r="T81" i="4"/>
  <c r="U81" i="4" s="1"/>
  <c r="BM81" i="4" s="1"/>
  <c r="T77" i="4"/>
  <c r="U77" i="4" s="1"/>
  <c r="BM77" i="4" s="1"/>
  <c r="T73" i="4"/>
  <c r="U73" i="4" s="1"/>
  <c r="BM73" i="4" s="1"/>
  <c r="T69" i="4"/>
  <c r="U69" i="4" s="1"/>
  <c r="BM69" i="4" s="1"/>
  <c r="T65" i="4"/>
  <c r="U65" i="4" s="1"/>
  <c r="BM65" i="4" s="1"/>
  <c r="T61" i="4"/>
  <c r="U61" i="4" s="1"/>
  <c r="BM61" i="4" s="1"/>
  <c r="T57" i="4"/>
  <c r="U57" i="4" s="1"/>
  <c r="T53" i="4"/>
  <c r="U53" i="4" s="1"/>
  <c r="BM53" i="4" s="1"/>
  <c r="T49" i="4"/>
  <c r="U49" i="4" s="1"/>
  <c r="BM49" i="4" s="1"/>
  <c r="T45" i="4"/>
  <c r="U45" i="4" s="1"/>
  <c r="BM45" i="4" s="1"/>
  <c r="T41" i="4"/>
  <c r="U41" i="4" s="1"/>
  <c r="BM41" i="4" s="1"/>
  <c r="T37" i="4"/>
  <c r="U37" i="4" s="1"/>
  <c r="BM37" i="4" s="1"/>
  <c r="T33" i="4"/>
  <c r="U33" i="4" s="1"/>
  <c r="BM33" i="4" s="1"/>
  <c r="T29" i="4"/>
  <c r="U29" i="4" s="1"/>
  <c r="BM29" i="4" s="1"/>
  <c r="T25" i="4"/>
  <c r="U25" i="4" s="1"/>
  <c r="BM25" i="4" s="1"/>
  <c r="T21" i="4"/>
  <c r="U21" i="4" s="1"/>
  <c r="BM21" i="4" s="1"/>
  <c r="T17" i="4"/>
  <c r="U17" i="4" s="1"/>
  <c r="BM17" i="4" s="1"/>
  <c r="T13" i="4"/>
  <c r="U13" i="4" s="1"/>
  <c r="BM13" i="4" s="1"/>
  <c r="T9" i="4"/>
  <c r="U9" i="4" s="1"/>
  <c r="BM9" i="4" s="1"/>
  <c r="T11" i="4"/>
  <c r="U11" i="4" s="1"/>
  <c r="BM11" i="4" s="1"/>
  <c r="T16" i="4"/>
  <c r="U16" i="4" s="1"/>
  <c r="BM16" i="4" s="1"/>
  <c r="T22" i="4"/>
  <c r="U22" i="4" s="1"/>
  <c r="BM22" i="4" s="1"/>
  <c r="T27" i="4"/>
  <c r="U27" i="4" s="1"/>
  <c r="BM27" i="4" s="1"/>
  <c r="T32" i="4"/>
  <c r="U32" i="4" s="1"/>
  <c r="BM32" i="4" s="1"/>
  <c r="T38" i="4"/>
  <c r="U38" i="4" s="1"/>
  <c r="BM38" i="4" s="1"/>
  <c r="T44" i="4"/>
  <c r="U44" i="4" s="1"/>
  <c r="BM44" i="4" s="1"/>
  <c r="T52" i="4"/>
  <c r="U52" i="4" s="1"/>
  <c r="BM52" i="4" s="1"/>
  <c r="T60" i="4"/>
  <c r="U60" i="4" s="1"/>
  <c r="BM60" i="4" s="1"/>
  <c r="T68" i="4"/>
  <c r="U68" i="4" s="1"/>
  <c r="BM68" i="4" s="1"/>
  <c r="T76" i="4"/>
  <c r="U76" i="4" s="1"/>
  <c r="BM76" i="4" s="1"/>
  <c r="T84" i="4"/>
  <c r="U84" i="4" s="1"/>
  <c r="BM84" i="4" s="1"/>
  <c r="T92" i="4"/>
  <c r="U92" i="4" s="1"/>
  <c r="BM92" i="4" s="1"/>
  <c r="T100" i="4"/>
  <c r="U100" i="4" s="1"/>
  <c r="BM100" i="4" s="1"/>
  <c r="T108" i="4"/>
  <c r="U108" i="4" s="1"/>
  <c r="BM108" i="4" s="1"/>
  <c r="W7" i="4"/>
  <c r="BN7" i="4" s="1"/>
  <c r="BE17" i="4"/>
  <c r="BE33" i="4"/>
  <c r="BE49" i="4"/>
  <c r="BE57" i="4"/>
  <c r="BE65" i="4"/>
  <c r="BE73" i="4"/>
  <c r="BE77" i="4"/>
  <c r="BE85" i="4"/>
  <c r="BE93" i="4"/>
  <c r="BE101" i="4"/>
  <c r="BE105" i="4"/>
  <c r="BI57" i="4"/>
  <c r="P11" i="4"/>
  <c r="Q11" i="4" s="1"/>
  <c r="BK11" i="4" s="1"/>
  <c r="P22" i="4"/>
  <c r="Q22" i="4" s="1"/>
  <c r="BK22" i="4" s="1"/>
  <c r="P32" i="4"/>
  <c r="Q32" i="4" s="1"/>
  <c r="BK32" i="4" s="1"/>
  <c r="P43" i="4"/>
  <c r="Q43" i="4" s="1"/>
  <c r="BK43" i="4" s="1"/>
  <c r="P54" i="4"/>
  <c r="Q54" i="4" s="1"/>
  <c r="BK54" i="4" s="1"/>
  <c r="P64" i="4"/>
  <c r="Q64" i="4" s="1"/>
  <c r="BK64" i="4" s="1"/>
  <c r="P75" i="4"/>
  <c r="Q75" i="4" s="1"/>
  <c r="BK75" i="4" s="1"/>
  <c r="P80" i="4"/>
  <c r="Q80" i="4" s="1"/>
  <c r="BK80" i="4" s="1"/>
  <c r="P91" i="4"/>
  <c r="Q91" i="4" s="1"/>
  <c r="BK91" i="4" s="1"/>
  <c r="P96" i="4"/>
  <c r="Q96" i="4" s="1"/>
  <c r="BK96" i="4" s="1"/>
  <c r="P107" i="4"/>
  <c r="Q107" i="4" s="1"/>
  <c r="BK107" i="4" s="1"/>
  <c r="P112" i="4"/>
  <c r="Q112" i="4" s="1"/>
  <c r="BK112" i="4" s="1"/>
  <c r="BF57" i="4"/>
  <c r="BL113" i="4"/>
  <c r="F10" i="4"/>
  <c r="G10" i="4" s="1"/>
  <c r="BF10" i="4" s="1"/>
  <c r="F14" i="4"/>
  <c r="G14" i="4" s="1"/>
  <c r="BF14" i="4" s="1"/>
  <c r="F18" i="4"/>
  <c r="G18" i="4" s="1"/>
  <c r="BF18" i="4" s="1"/>
  <c r="F22" i="4"/>
  <c r="G22" i="4" s="1"/>
  <c r="BF22" i="4" s="1"/>
  <c r="F26" i="4"/>
  <c r="G26" i="4" s="1"/>
  <c r="BF26" i="4" s="1"/>
  <c r="F30" i="4"/>
  <c r="G30" i="4" s="1"/>
  <c r="BF30" i="4" s="1"/>
  <c r="F34" i="4"/>
  <c r="G34" i="4" s="1"/>
  <c r="BF34" i="4" s="1"/>
  <c r="F38" i="4"/>
  <c r="G38" i="4" s="1"/>
  <c r="BF38" i="4" s="1"/>
  <c r="F42" i="4"/>
  <c r="G42" i="4" s="1"/>
  <c r="BF42" i="4" s="1"/>
  <c r="F46" i="4"/>
  <c r="G46" i="4" s="1"/>
  <c r="BF46" i="4" s="1"/>
  <c r="F50" i="4"/>
  <c r="G50" i="4" s="1"/>
  <c r="BF50" i="4" s="1"/>
  <c r="F54" i="4"/>
  <c r="G54" i="4" s="1"/>
  <c r="BF54" i="4" s="1"/>
  <c r="F58" i="4"/>
  <c r="G58" i="4" s="1"/>
  <c r="BF58" i="4" s="1"/>
  <c r="F62" i="4"/>
  <c r="G62" i="4" s="1"/>
  <c r="BF62" i="4" s="1"/>
  <c r="F66" i="4"/>
  <c r="G66" i="4" s="1"/>
  <c r="BF66" i="4" s="1"/>
  <c r="F70" i="4"/>
  <c r="G70" i="4" s="1"/>
  <c r="BF70" i="4" s="1"/>
  <c r="F74" i="4"/>
  <c r="G74" i="4" s="1"/>
  <c r="BF74" i="4" s="1"/>
  <c r="F78" i="4"/>
  <c r="G78" i="4" s="1"/>
  <c r="BF78" i="4" s="1"/>
  <c r="F82" i="4"/>
  <c r="G82" i="4" s="1"/>
  <c r="BF82" i="4" s="1"/>
  <c r="F86" i="4"/>
  <c r="G86" i="4" s="1"/>
  <c r="BF86" i="4" s="1"/>
  <c r="F90" i="4"/>
  <c r="G90" i="4" s="1"/>
  <c r="BF90" i="4" s="1"/>
  <c r="F94" i="4"/>
  <c r="G94" i="4" s="1"/>
  <c r="BF94" i="4" s="1"/>
  <c r="F98" i="4"/>
  <c r="G98" i="4" s="1"/>
  <c r="BF98" i="4" s="1"/>
  <c r="F102" i="4"/>
  <c r="G102" i="4" s="1"/>
  <c r="BF102" i="4" s="1"/>
  <c r="F106" i="4"/>
  <c r="G106" i="4" s="1"/>
  <c r="BF106" i="4" s="1"/>
  <c r="F110" i="4"/>
  <c r="G110" i="4" s="1"/>
  <c r="BF110" i="4" s="1"/>
  <c r="J110" i="4"/>
  <c r="K110" i="4" s="1"/>
  <c r="BH110" i="4" s="1"/>
  <c r="J106" i="4"/>
  <c r="K106" i="4" s="1"/>
  <c r="BH106" i="4" s="1"/>
  <c r="J102" i="4"/>
  <c r="K102" i="4" s="1"/>
  <c r="BH102" i="4" s="1"/>
  <c r="J98" i="4"/>
  <c r="K98" i="4" s="1"/>
  <c r="BH98" i="4" s="1"/>
  <c r="J94" i="4"/>
  <c r="K94" i="4" s="1"/>
  <c r="BH94" i="4" s="1"/>
  <c r="J90" i="4"/>
  <c r="K90" i="4" s="1"/>
  <c r="BH90" i="4" s="1"/>
  <c r="J86" i="4"/>
  <c r="K86" i="4" s="1"/>
  <c r="BH86" i="4" s="1"/>
  <c r="J82" i="4"/>
  <c r="K82" i="4" s="1"/>
  <c r="BH82" i="4" s="1"/>
  <c r="J78" i="4"/>
  <c r="K78" i="4" s="1"/>
  <c r="BH78" i="4" s="1"/>
  <c r="J74" i="4"/>
  <c r="K74" i="4" s="1"/>
  <c r="BH74" i="4" s="1"/>
  <c r="J70" i="4"/>
  <c r="K70" i="4" s="1"/>
  <c r="BH70" i="4" s="1"/>
  <c r="J66" i="4"/>
  <c r="K66" i="4" s="1"/>
  <c r="BH66" i="4" s="1"/>
  <c r="J14" i="4"/>
  <c r="K14" i="4" s="1"/>
  <c r="BH14" i="4" s="1"/>
  <c r="J22" i="4"/>
  <c r="K22" i="4" s="1"/>
  <c r="BH22" i="4" s="1"/>
  <c r="J34" i="4"/>
  <c r="K34" i="4" s="1"/>
  <c r="BH34" i="4" s="1"/>
  <c r="J42" i="4"/>
  <c r="K42" i="4" s="1"/>
  <c r="BH42" i="4" s="1"/>
  <c r="J50" i="4"/>
  <c r="K50" i="4" s="1"/>
  <c r="BH50" i="4" s="1"/>
  <c r="J58" i="4"/>
  <c r="K58" i="4" s="1"/>
  <c r="BH58" i="4" s="1"/>
  <c r="J67" i="4"/>
  <c r="K67" i="4" s="1"/>
  <c r="BH67" i="4" s="1"/>
  <c r="J77" i="4"/>
  <c r="K77" i="4" s="1"/>
  <c r="BH77" i="4" s="1"/>
  <c r="J88" i="4"/>
  <c r="K88" i="4" s="1"/>
  <c r="BH88" i="4" s="1"/>
  <c r="J99" i="4"/>
  <c r="K99" i="4" s="1"/>
  <c r="BH99" i="4" s="1"/>
  <c r="R109" i="4"/>
  <c r="S109" i="4" s="1"/>
  <c r="BL109" i="4" s="1"/>
  <c r="R105" i="4"/>
  <c r="S105" i="4" s="1"/>
  <c r="BL105" i="4" s="1"/>
  <c r="R101" i="4"/>
  <c r="S101" i="4" s="1"/>
  <c r="BL101" i="4" s="1"/>
  <c r="R97" i="4"/>
  <c r="S97" i="4" s="1"/>
  <c r="BL97" i="4" s="1"/>
  <c r="R93" i="4"/>
  <c r="S93" i="4" s="1"/>
  <c r="BL93" i="4" s="1"/>
  <c r="R89" i="4"/>
  <c r="S89" i="4" s="1"/>
  <c r="BL89" i="4" s="1"/>
  <c r="R85" i="4"/>
  <c r="S85" i="4" s="1"/>
  <c r="BL85" i="4" s="1"/>
  <c r="R81" i="4"/>
  <c r="S81" i="4" s="1"/>
  <c r="BL81" i="4" s="1"/>
  <c r="R77" i="4"/>
  <c r="S77" i="4" s="1"/>
  <c r="BL77" i="4" s="1"/>
  <c r="R73" i="4"/>
  <c r="S73" i="4" s="1"/>
  <c r="BL73" i="4" s="1"/>
  <c r="R69" i="4"/>
  <c r="S69" i="4" s="1"/>
  <c r="BL69" i="4" s="1"/>
  <c r="R65" i="4"/>
  <c r="S65" i="4" s="1"/>
  <c r="BL65" i="4" s="1"/>
  <c r="R61" i="4"/>
  <c r="S61" i="4" s="1"/>
  <c r="BL61" i="4" s="1"/>
  <c r="R57" i="4"/>
  <c r="S57" i="4" s="1"/>
  <c r="BL57" i="4" s="1"/>
  <c r="R53" i="4"/>
  <c r="S53" i="4" s="1"/>
  <c r="BL53" i="4" s="1"/>
  <c r="R49" i="4"/>
  <c r="S49" i="4" s="1"/>
  <c r="BL49" i="4" s="1"/>
  <c r="R45" i="4"/>
  <c r="S45" i="4" s="1"/>
  <c r="BL45" i="4" s="1"/>
  <c r="R41" i="4"/>
  <c r="S41" i="4" s="1"/>
  <c r="BL41" i="4" s="1"/>
  <c r="R37" i="4"/>
  <c r="S37" i="4" s="1"/>
  <c r="BL37" i="4" s="1"/>
  <c r="R33" i="4"/>
  <c r="S33" i="4" s="1"/>
  <c r="BL33" i="4" s="1"/>
  <c r="R29" i="4"/>
  <c r="S29" i="4" s="1"/>
  <c r="BL29" i="4" s="1"/>
  <c r="R25" i="4"/>
  <c r="S25" i="4" s="1"/>
  <c r="BL25" i="4" s="1"/>
  <c r="R21" i="4"/>
  <c r="S21" i="4" s="1"/>
  <c r="BL21" i="4" s="1"/>
  <c r="R17" i="4"/>
  <c r="S17" i="4" s="1"/>
  <c r="BL17" i="4" s="1"/>
  <c r="R13" i="4"/>
  <c r="S13" i="4" s="1"/>
  <c r="BL13" i="4" s="1"/>
  <c r="R9" i="4"/>
  <c r="S9" i="4" s="1"/>
  <c r="BL9" i="4" s="1"/>
  <c r="R16" i="4"/>
  <c r="S16" i="4" s="1"/>
  <c r="BL16" i="4" s="1"/>
  <c r="R32" i="4"/>
  <c r="S32" i="4" s="1"/>
  <c r="BL32" i="4" s="1"/>
  <c r="R43" i="4"/>
  <c r="S43" i="4" s="1"/>
  <c r="BL43" i="4" s="1"/>
  <c r="R54" i="4"/>
  <c r="S54" i="4" s="1"/>
  <c r="BL54" i="4" s="1"/>
  <c r="R64" i="4"/>
  <c r="S64" i="4" s="1"/>
  <c r="BL64" i="4" s="1"/>
  <c r="R80" i="4"/>
  <c r="S80" i="4" s="1"/>
  <c r="BL80" i="4" s="1"/>
  <c r="R96" i="4"/>
  <c r="S96" i="4" s="1"/>
  <c r="BL96" i="4" s="1"/>
  <c r="Y7" i="4"/>
  <c r="BO7" i="4" s="1"/>
  <c r="D8" i="4"/>
  <c r="E8" i="4" s="1"/>
  <c r="D12" i="4"/>
  <c r="E12" i="4" s="1"/>
  <c r="D16" i="4"/>
  <c r="E16" i="4" s="1"/>
  <c r="D20" i="4"/>
  <c r="E20" i="4" s="1"/>
  <c r="D24" i="4"/>
  <c r="E24" i="4" s="1"/>
  <c r="D28" i="4"/>
  <c r="E28" i="4" s="1"/>
  <c r="D32" i="4"/>
  <c r="E32" i="4" s="1"/>
  <c r="D36" i="4"/>
  <c r="E36" i="4" s="1"/>
  <c r="D40" i="4"/>
  <c r="E40" i="4" s="1"/>
  <c r="D44" i="4"/>
  <c r="E44" i="4" s="1"/>
  <c r="D48" i="4"/>
  <c r="E48" i="4" s="1"/>
  <c r="D52" i="4"/>
  <c r="E52" i="4" s="1"/>
  <c r="D56" i="4"/>
  <c r="D60" i="4"/>
  <c r="E60" i="4" s="1"/>
  <c r="D64" i="4"/>
  <c r="E64" i="4" s="1"/>
  <c r="D68" i="4"/>
  <c r="E68" i="4" s="1"/>
  <c r="D72" i="4"/>
  <c r="E72" i="4" s="1"/>
  <c r="D76" i="4"/>
  <c r="E76" i="4" s="1"/>
  <c r="D80" i="4"/>
  <c r="E80" i="4" s="1"/>
  <c r="D84" i="4"/>
  <c r="E84" i="4" s="1"/>
  <c r="D88" i="4"/>
  <c r="E88" i="4" s="1"/>
  <c r="D92" i="4"/>
  <c r="E92" i="4" s="1"/>
  <c r="D96" i="4"/>
  <c r="E96" i="4" s="1"/>
  <c r="D100" i="4"/>
  <c r="E100" i="4" s="1"/>
  <c r="D104" i="4"/>
  <c r="E104" i="4" s="1"/>
  <c r="D108" i="4"/>
  <c r="E108" i="4" s="1"/>
  <c r="F8" i="4"/>
  <c r="G8" i="4" s="1"/>
  <c r="BF8" i="4" s="1"/>
  <c r="F12" i="4"/>
  <c r="G12" i="4" s="1"/>
  <c r="BF12" i="4" s="1"/>
  <c r="F16" i="4"/>
  <c r="G16" i="4" s="1"/>
  <c r="BF16" i="4" s="1"/>
  <c r="F20" i="4"/>
  <c r="G20" i="4" s="1"/>
  <c r="BF20" i="4" s="1"/>
  <c r="F24" i="4"/>
  <c r="G24" i="4" s="1"/>
  <c r="BF24" i="4" s="1"/>
  <c r="F28" i="4"/>
  <c r="G28" i="4" s="1"/>
  <c r="BF28" i="4" s="1"/>
  <c r="F32" i="4"/>
  <c r="G32" i="4" s="1"/>
  <c r="BF32" i="4" s="1"/>
  <c r="F36" i="4"/>
  <c r="G36" i="4" s="1"/>
  <c r="BF36" i="4" s="1"/>
  <c r="F40" i="4"/>
  <c r="G40" i="4" s="1"/>
  <c r="BF40" i="4" s="1"/>
  <c r="F44" i="4"/>
  <c r="G44" i="4" s="1"/>
  <c r="BF44" i="4" s="1"/>
  <c r="F48" i="4"/>
  <c r="G48" i="4" s="1"/>
  <c r="BF48" i="4" s="1"/>
  <c r="F52" i="4"/>
  <c r="G52" i="4" s="1"/>
  <c r="BF52" i="4" s="1"/>
  <c r="F56" i="4"/>
  <c r="F60" i="4"/>
  <c r="G60" i="4" s="1"/>
  <c r="BF60" i="4" s="1"/>
  <c r="F64" i="4"/>
  <c r="G64" i="4" s="1"/>
  <c r="BF64" i="4" s="1"/>
  <c r="F68" i="4"/>
  <c r="G68" i="4" s="1"/>
  <c r="BF68" i="4" s="1"/>
  <c r="F72" i="4"/>
  <c r="G72" i="4" s="1"/>
  <c r="BF72" i="4" s="1"/>
  <c r="F76" i="4"/>
  <c r="G76" i="4" s="1"/>
  <c r="BF76" i="4" s="1"/>
  <c r="F80" i="4"/>
  <c r="G80" i="4" s="1"/>
  <c r="BF80" i="4" s="1"/>
  <c r="F84" i="4"/>
  <c r="G84" i="4" s="1"/>
  <c r="BF84" i="4" s="1"/>
  <c r="F88" i="4"/>
  <c r="G88" i="4" s="1"/>
  <c r="BF88" i="4" s="1"/>
  <c r="F92" i="4"/>
  <c r="G92" i="4" s="1"/>
  <c r="BF92" i="4" s="1"/>
  <c r="F96" i="4"/>
  <c r="G96" i="4" s="1"/>
  <c r="BF96" i="4" s="1"/>
  <c r="F100" i="4"/>
  <c r="G100" i="4" s="1"/>
  <c r="BF100" i="4" s="1"/>
  <c r="F104" i="4"/>
  <c r="G104" i="4" s="1"/>
  <c r="BF104" i="4" s="1"/>
  <c r="F108" i="4"/>
  <c r="G108" i="4" s="1"/>
  <c r="BF108" i="4" s="1"/>
  <c r="H8" i="4"/>
  <c r="I8" i="4" s="1"/>
  <c r="BG8" i="4" s="1"/>
  <c r="H12" i="4"/>
  <c r="I12" i="4" s="1"/>
  <c r="BG12" i="4" s="1"/>
  <c r="H16" i="4"/>
  <c r="I16" i="4" s="1"/>
  <c r="BG16" i="4" s="1"/>
  <c r="H20" i="4"/>
  <c r="I20" i="4" s="1"/>
  <c r="BG20" i="4" s="1"/>
  <c r="H24" i="4"/>
  <c r="I24" i="4" s="1"/>
  <c r="BG24" i="4" s="1"/>
  <c r="H28" i="4"/>
  <c r="I28" i="4" s="1"/>
  <c r="BG28" i="4" s="1"/>
  <c r="H32" i="4"/>
  <c r="I32" i="4" s="1"/>
  <c r="BG32" i="4" s="1"/>
  <c r="H36" i="4"/>
  <c r="I36" i="4" s="1"/>
  <c r="BG36" i="4" s="1"/>
  <c r="H40" i="4"/>
  <c r="I40" i="4" s="1"/>
  <c r="BG40" i="4" s="1"/>
  <c r="H44" i="4"/>
  <c r="I44" i="4" s="1"/>
  <c r="BG44" i="4" s="1"/>
  <c r="H48" i="4"/>
  <c r="I48" i="4" s="1"/>
  <c r="BG48" i="4" s="1"/>
  <c r="H52" i="4"/>
  <c r="I52" i="4" s="1"/>
  <c r="BG52" i="4" s="1"/>
  <c r="H56" i="4"/>
  <c r="H60" i="4"/>
  <c r="I60" i="4" s="1"/>
  <c r="BG60" i="4" s="1"/>
  <c r="H64" i="4"/>
  <c r="I64" i="4" s="1"/>
  <c r="BG64" i="4" s="1"/>
  <c r="H68" i="4"/>
  <c r="I68" i="4" s="1"/>
  <c r="BG68" i="4" s="1"/>
  <c r="H72" i="4"/>
  <c r="I72" i="4" s="1"/>
  <c r="BG72" i="4" s="1"/>
  <c r="H76" i="4"/>
  <c r="I76" i="4" s="1"/>
  <c r="BG76" i="4" s="1"/>
  <c r="H80" i="4"/>
  <c r="I80" i="4" s="1"/>
  <c r="BG80" i="4" s="1"/>
  <c r="H84" i="4"/>
  <c r="I84" i="4" s="1"/>
  <c r="BG84" i="4" s="1"/>
  <c r="H88" i="4"/>
  <c r="I88" i="4" s="1"/>
  <c r="BG88" i="4" s="1"/>
  <c r="H92" i="4"/>
  <c r="I92" i="4" s="1"/>
  <c r="BG92" i="4" s="1"/>
  <c r="H96" i="4"/>
  <c r="I96" i="4" s="1"/>
  <c r="BG96" i="4" s="1"/>
  <c r="H100" i="4"/>
  <c r="I100" i="4" s="1"/>
  <c r="BG100" i="4" s="1"/>
  <c r="H104" i="4"/>
  <c r="I104" i="4" s="1"/>
  <c r="BG104" i="4" s="1"/>
  <c r="H108" i="4"/>
  <c r="I108" i="4" s="1"/>
  <c r="BG108" i="4" s="1"/>
  <c r="J8" i="4"/>
  <c r="K8" i="4" s="1"/>
  <c r="BH8" i="4" s="1"/>
  <c r="J12" i="4"/>
  <c r="K12" i="4" s="1"/>
  <c r="BH12" i="4" s="1"/>
  <c r="J16" i="4"/>
  <c r="K16" i="4" s="1"/>
  <c r="BH16" i="4" s="1"/>
  <c r="J20" i="4"/>
  <c r="K20" i="4" s="1"/>
  <c r="BH20" i="4" s="1"/>
  <c r="J24" i="4"/>
  <c r="K24" i="4" s="1"/>
  <c r="BH24" i="4" s="1"/>
  <c r="J28" i="4"/>
  <c r="K28" i="4" s="1"/>
  <c r="BH28" i="4" s="1"/>
  <c r="J32" i="4"/>
  <c r="K32" i="4" s="1"/>
  <c r="BH32" i="4" s="1"/>
  <c r="J36" i="4"/>
  <c r="K36" i="4" s="1"/>
  <c r="BH36" i="4" s="1"/>
  <c r="J40" i="4"/>
  <c r="K40" i="4" s="1"/>
  <c r="BH40" i="4" s="1"/>
  <c r="J44" i="4"/>
  <c r="K44" i="4" s="1"/>
  <c r="BH44" i="4" s="1"/>
  <c r="J48" i="4"/>
  <c r="K48" i="4" s="1"/>
  <c r="BH48" i="4" s="1"/>
  <c r="J52" i="4"/>
  <c r="K52" i="4" s="1"/>
  <c r="BH52" i="4" s="1"/>
  <c r="J56" i="4"/>
  <c r="J60" i="4"/>
  <c r="K60" i="4" s="1"/>
  <c r="BH60" i="4" s="1"/>
  <c r="J64" i="4"/>
  <c r="K64" i="4" s="1"/>
  <c r="BH64" i="4" s="1"/>
  <c r="J69" i="4"/>
  <c r="K69" i="4" s="1"/>
  <c r="BH69" i="4" s="1"/>
  <c r="J75" i="4"/>
  <c r="K75" i="4" s="1"/>
  <c r="BH75" i="4" s="1"/>
  <c r="J80" i="4"/>
  <c r="K80" i="4" s="1"/>
  <c r="BH80" i="4" s="1"/>
  <c r="J85" i="4"/>
  <c r="K85" i="4" s="1"/>
  <c r="BH85" i="4" s="1"/>
  <c r="J91" i="4"/>
  <c r="K91" i="4" s="1"/>
  <c r="BH91" i="4" s="1"/>
  <c r="J96" i="4"/>
  <c r="K96" i="4" s="1"/>
  <c r="BH96" i="4" s="1"/>
  <c r="J101" i="4"/>
  <c r="K101" i="4" s="1"/>
  <c r="BH101" i="4" s="1"/>
  <c r="J107" i="4"/>
  <c r="K107" i="4" s="1"/>
  <c r="BH107" i="4" s="1"/>
  <c r="J112" i="4"/>
  <c r="K112" i="4" s="1"/>
  <c r="BH112" i="4" s="1"/>
  <c r="P10" i="4"/>
  <c r="Q10" i="4" s="1"/>
  <c r="BK10" i="4" s="1"/>
  <c r="P15" i="4"/>
  <c r="Q15" i="4" s="1"/>
  <c r="BK15" i="4" s="1"/>
  <c r="P20" i="4"/>
  <c r="Q20" i="4" s="1"/>
  <c r="BK20" i="4" s="1"/>
  <c r="P26" i="4"/>
  <c r="Q26" i="4" s="1"/>
  <c r="BK26" i="4" s="1"/>
  <c r="P31" i="4"/>
  <c r="Q31" i="4" s="1"/>
  <c r="BK31" i="4" s="1"/>
  <c r="P36" i="4"/>
  <c r="Q36" i="4" s="1"/>
  <c r="BK36" i="4" s="1"/>
  <c r="P42" i="4"/>
  <c r="Q42" i="4" s="1"/>
  <c r="BK42" i="4" s="1"/>
  <c r="P47" i="4"/>
  <c r="Q47" i="4" s="1"/>
  <c r="BK47" i="4" s="1"/>
  <c r="P52" i="4"/>
  <c r="Q52" i="4" s="1"/>
  <c r="BK52" i="4" s="1"/>
  <c r="P58" i="4"/>
  <c r="Q58" i="4" s="1"/>
  <c r="BK58" i="4" s="1"/>
  <c r="P63" i="4"/>
  <c r="Q63" i="4" s="1"/>
  <c r="BK63" i="4" s="1"/>
  <c r="P68" i="4"/>
  <c r="Q68" i="4" s="1"/>
  <c r="BK68" i="4" s="1"/>
  <c r="P74" i="4"/>
  <c r="Q74" i="4" s="1"/>
  <c r="BK74" i="4" s="1"/>
  <c r="P79" i="4"/>
  <c r="Q79" i="4" s="1"/>
  <c r="BK79" i="4" s="1"/>
  <c r="P84" i="4"/>
  <c r="Q84" i="4" s="1"/>
  <c r="BK84" i="4" s="1"/>
  <c r="P90" i="4"/>
  <c r="Q90" i="4" s="1"/>
  <c r="BK90" i="4" s="1"/>
  <c r="P95" i="4"/>
  <c r="Q95" i="4" s="1"/>
  <c r="BK95" i="4" s="1"/>
  <c r="P100" i="4"/>
  <c r="Q100" i="4" s="1"/>
  <c r="BK100" i="4" s="1"/>
  <c r="P106" i="4"/>
  <c r="Q106" i="4" s="1"/>
  <c r="BK106" i="4" s="1"/>
  <c r="P111" i="4"/>
  <c r="Q111" i="4" s="1"/>
  <c r="BK111" i="4" s="1"/>
  <c r="R8" i="4"/>
  <c r="S8" i="4" s="1"/>
  <c r="BL8" i="4" s="1"/>
  <c r="R14" i="4"/>
  <c r="S14" i="4" s="1"/>
  <c r="BL14" i="4" s="1"/>
  <c r="R19" i="4"/>
  <c r="S19" i="4" s="1"/>
  <c r="BL19" i="4" s="1"/>
  <c r="R24" i="4"/>
  <c r="S24" i="4" s="1"/>
  <c r="BL24" i="4" s="1"/>
  <c r="R30" i="4"/>
  <c r="S30" i="4" s="1"/>
  <c r="BL30" i="4" s="1"/>
  <c r="R35" i="4"/>
  <c r="S35" i="4" s="1"/>
  <c r="BL35" i="4" s="1"/>
  <c r="R40" i="4"/>
  <c r="S40" i="4" s="1"/>
  <c r="BL40" i="4" s="1"/>
  <c r="R46" i="4"/>
  <c r="S46" i="4" s="1"/>
  <c r="BL46" i="4" s="1"/>
  <c r="R51" i="4"/>
  <c r="S51" i="4" s="1"/>
  <c r="BL51" i="4" s="1"/>
  <c r="R56" i="4"/>
  <c r="R62" i="4"/>
  <c r="S62" i="4" s="1"/>
  <c r="BL62" i="4" s="1"/>
  <c r="R67" i="4"/>
  <c r="S67" i="4" s="1"/>
  <c r="BL67" i="4" s="1"/>
  <c r="R72" i="4"/>
  <c r="S72" i="4" s="1"/>
  <c r="BL72" i="4" s="1"/>
  <c r="R78" i="4"/>
  <c r="S78" i="4" s="1"/>
  <c r="BL78" i="4" s="1"/>
  <c r="R83" i="4"/>
  <c r="S83" i="4" s="1"/>
  <c r="BL83" i="4" s="1"/>
  <c r="R88" i="4"/>
  <c r="S88" i="4" s="1"/>
  <c r="BL88" i="4" s="1"/>
  <c r="R94" i="4"/>
  <c r="S94" i="4" s="1"/>
  <c r="BL94" i="4" s="1"/>
  <c r="R99" i="4"/>
  <c r="S99" i="4" s="1"/>
  <c r="BL99" i="4" s="1"/>
  <c r="R104" i="4"/>
  <c r="S104" i="4" s="1"/>
  <c r="BL104" i="4" s="1"/>
  <c r="R110" i="4"/>
  <c r="S110" i="4" s="1"/>
  <c r="BL110" i="4" s="1"/>
  <c r="U7" i="4"/>
  <c r="BM7" i="4" s="1"/>
  <c r="T111" i="4"/>
  <c r="U111" i="4" s="1"/>
  <c r="BM111" i="4" s="1"/>
  <c r="L10" i="4"/>
  <c r="M10" i="4" s="1"/>
  <c r="BI10" i="4" s="1"/>
  <c r="L14" i="4"/>
  <c r="M14" i="4" s="1"/>
  <c r="BI14" i="4" s="1"/>
  <c r="L18" i="4"/>
  <c r="M18" i="4" s="1"/>
  <c r="BI18" i="4" s="1"/>
  <c r="L22" i="4"/>
  <c r="M22" i="4" s="1"/>
  <c r="BI22" i="4" s="1"/>
  <c r="L26" i="4"/>
  <c r="M26" i="4" s="1"/>
  <c r="BI26" i="4" s="1"/>
  <c r="L30" i="4"/>
  <c r="M30" i="4" s="1"/>
  <c r="BI30" i="4" s="1"/>
  <c r="L34" i="4"/>
  <c r="M34" i="4" s="1"/>
  <c r="BI34" i="4" s="1"/>
  <c r="L38" i="4"/>
  <c r="M38" i="4" s="1"/>
  <c r="BI38" i="4" s="1"/>
  <c r="L42" i="4"/>
  <c r="M42" i="4" s="1"/>
  <c r="BI42" i="4" s="1"/>
  <c r="L46" i="4"/>
  <c r="M46" i="4" s="1"/>
  <c r="BI46" i="4" s="1"/>
  <c r="L50" i="4"/>
  <c r="M50" i="4" s="1"/>
  <c r="BI50" i="4" s="1"/>
  <c r="L54" i="4"/>
  <c r="M54" i="4" s="1"/>
  <c r="BI54" i="4" s="1"/>
  <c r="L58" i="4"/>
  <c r="M58" i="4" s="1"/>
  <c r="BI58" i="4" s="1"/>
  <c r="L62" i="4"/>
  <c r="M62" i="4" s="1"/>
  <c r="BI62" i="4" s="1"/>
  <c r="L66" i="4"/>
  <c r="M66" i="4" s="1"/>
  <c r="BI66" i="4" s="1"/>
  <c r="L70" i="4"/>
  <c r="M70" i="4" s="1"/>
  <c r="BI70" i="4" s="1"/>
  <c r="L74" i="4"/>
  <c r="M74" i="4" s="1"/>
  <c r="BI74" i="4" s="1"/>
  <c r="L78" i="4"/>
  <c r="M78" i="4" s="1"/>
  <c r="BI78" i="4" s="1"/>
  <c r="L82" i="4"/>
  <c r="M82" i="4" s="1"/>
  <c r="BI82" i="4" s="1"/>
  <c r="L86" i="4"/>
  <c r="M86" i="4" s="1"/>
  <c r="BI86" i="4" s="1"/>
  <c r="L90" i="4"/>
  <c r="M90" i="4" s="1"/>
  <c r="BI90" i="4" s="1"/>
  <c r="L94" i="4"/>
  <c r="M94" i="4" s="1"/>
  <c r="BI94" i="4" s="1"/>
  <c r="L98" i="4"/>
  <c r="M98" i="4" s="1"/>
  <c r="BI98" i="4" s="1"/>
  <c r="L102" i="4"/>
  <c r="M102" i="4" s="1"/>
  <c r="BI102" i="4" s="1"/>
  <c r="L106" i="4"/>
  <c r="M106" i="4" s="1"/>
  <c r="BI106" i="4" s="1"/>
  <c r="V9" i="4"/>
  <c r="W9" i="4" s="1"/>
  <c r="BN9" i="4" s="1"/>
  <c r="V13" i="4"/>
  <c r="W13" i="4" s="1"/>
  <c r="BN13" i="4" s="1"/>
  <c r="V17" i="4"/>
  <c r="W17" i="4" s="1"/>
  <c r="BN17" i="4" s="1"/>
  <c r="V21" i="4"/>
  <c r="W21" i="4" s="1"/>
  <c r="BN21" i="4" s="1"/>
  <c r="V25" i="4"/>
  <c r="W25" i="4" s="1"/>
  <c r="BN25" i="4" s="1"/>
  <c r="V29" i="4"/>
  <c r="W29" i="4" s="1"/>
  <c r="BN29" i="4" s="1"/>
  <c r="V33" i="4"/>
  <c r="W33" i="4" s="1"/>
  <c r="BN33" i="4" s="1"/>
  <c r="V37" i="4"/>
  <c r="W37" i="4" s="1"/>
  <c r="BN37" i="4" s="1"/>
  <c r="V41" i="4"/>
  <c r="W41" i="4" s="1"/>
  <c r="BN41" i="4" s="1"/>
  <c r="V45" i="4"/>
  <c r="W45" i="4" s="1"/>
  <c r="BN45" i="4" s="1"/>
  <c r="V49" i="4"/>
  <c r="W49" i="4" s="1"/>
  <c r="BN49" i="4" s="1"/>
  <c r="V53" i="4"/>
  <c r="W53" i="4" s="1"/>
  <c r="BN53" i="4" s="1"/>
  <c r="V57" i="4"/>
  <c r="W57" i="4" s="1"/>
  <c r="V61" i="4"/>
  <c r="W61" i="4" s="1"/>
  <c r="BN61" i="4" s="1"/>
  <c r="V65" i="4"/>
  <c r="W65" i="4" s="1"/>
  <c r="BN65" i="4" s="1"/>
  <c r="V69" i="4"/>
  <c r="W69" i="4" s="1"/>
  <c r="BN69" i="4" s="1"/>
  <c r="V73" i="4"/>
  <c r="W73" i="4" s="1"/>
  <c r="BN73" i="4" s="1"/>
  <c r="V77" i="4"/>
  <c r="W77" i="4" s="1"/>
  <c r="BN77" i="4" s="1"/>
  <c r="V81" i="4"/>
  <c r="W81" i="4" s="1"/>
  <c r="BN81" i="4" s="1"/>
  <c r="V85" i="4"/>
  <c r="W85" i="4" s="1"/>
  <c r="BN85" i="4" s="1"/>
  <c r="V89" i="4"/>
  <c r="W89" i="4" s="1"/>
  <c r="BN89" i="4" s="1"/>
  <c r="V93" i="4"/>
  <c r="W93" i="4" s="1"/>
  <c r="BN93" i="4" s="1"/>
  <c r="V97" i="4"/>
  <c r="W97" i="4" s="1"/>
  <c r="BN97" i="4" s="1"/>
  <c r="V101" i="4"/>
  <c r="W101" i="4" s="1"/>
  <c r="BN101" i="4" s="1"/>
  <c r="V105" i="4"/>
  <c r="W105" i="4" s="1"/>
  <c r="BN105" i="4" s="1"/>
  <c r="V109" i="4"/>
  <c r="W109" i="4" s="1"/>
  <c r="BN109" i="4" s="1"/>
  <c r="X9" i="4"/>
  <c r="Y9" i="4" s="1"/>
  <c r="BO9" i="4" s="1"/>
  <c r="X13" i="4"/>
  <c r="Y13" i="4" s="1"/>
  <c r="BO13" i="4" s="1"/>
  <c r="X17" i="4"/>
  <c r="Y17" i="4" s="1"/>
  <c r="BO17" i="4" s="1"/>
  <c r="X21" i="4"/>
  <c r="Y21" i="4" s="1"/>
  <c r="BO21" i="4" s="1"/>
  <c r="X25" i="4"/>
  <c r="Y25" i="4" s="1"/>
  <c r="BO25" i="4" s="1"/>
  <c r="X29" i="4"/>
  <c r="Y29" i="4" s="1"/>
  <c r="BO29" i="4" s="1"/>
  <c r="X33" i="4"/>
  <c r="Y33" i="4" s="1"/>
  <c r="BO33" i="4" s="1"/>
  <c r="X37" i="4"/>
  <c r="Y37" i="4" s="1"/>
  <c r="BO37" i="4" s="1"/>
  <c r="X41" i="4"/>
  <c r="Y41" i="4" s="1"/>
  <c r="BO41" i="4" s="1"/>
  <c r="X45" i="4"/>
  <c r="Y45" i="4" s="1"/>
  <c r="BO45" i="4" s="1"/>
  <c r="X49" i="4"/>
  <c r="Y49" i="4" s="1"/>
  <c r="BO49" i="4" s="1"/>
  <c r="X53" i="4"/>
  <c r="Y53" i="4" s="1"/>
  <c r="BO53" i="4" s="1"/>
  <c r="X57" i="4"/>
  <c r="Y57" i="4" s="1"/>
  <c r="X61" i="4"/>
  <c r="Y61" i="4" s="1"/>
  <c r="BO61" i="4" s="1"/>
  <c r="X65" i="4"/>
  <c r="Y65" i="4" s="1"/>
  <c r="BO65" i="4" s="1"/>
  <c r="X69" i="4"/>
  <c r="Y69" i="4" s="1"/>
  <c r="BO69" i="4" s="1"/>
  <c r="X73" i="4"/>
  <c r="Y73" i="4" s="1"/>
  <c r="BO73" i="4" s="1"/>
  <c r="X77" i="4"/>
  <c r="Y77" i="4" s="1"/>
  <c r="BO77" i="4" s="1"/>
  <c r="X81" i="4"/>
  <c r="Y81" i="4" s="1"/>
  <c r="BO81" i="4" s="1"/>
  <c r="X86" i="4"/>
  <c r="Y86" i="4" s="1"/>
  <c r="BO86" i="4" s="1"/>
  <c r="X91" i="4"/>
  <c r="Y91" i="4" s="1"/>
  <c r="BO91" i="4" s="1"/>
  <c r="X96" i="4"/>
  <c r="Y96" i="4" s="1"/>
  <c r="BO96" i="4" s="1"/>
  <c r="X102" i="4"/>
  <c r="Y102" i="4" s="1"/>
  <c r="BO102" i="4" s="1"/>
  <c r="X107" i="4"/>
  <c r="Y107" i="4" s="1"/>
  <c r="BO107" i="4" s="1"/>
  <c r="V10" i="4"/>
  <c r="W10" i="4" s="1"/>
  <c r="BN10" i="4" s="1"/>
  <c r="V14" i="4"/>
  <c r="W14" i="4" s="1"/>
  <c r="BN14" i="4" s="1"/>
  <c r="V18" i="4"/>
  <c r="W18" i="4" s="1"/>
  <c r="BN18" i="4" s="1"/>
  <c r="V22" i="4"/>
  <c r="W22" i="4" s="1"/>
  <c r="BN22" i="4" s="1"/>
  <c r="V26" i="4"/>
  <c r="W26" i="4" s="1"/>
  <c r="BN26" i="4" s="1"/>
  <c r="V30" i="4"/>
  <c r="W30" i="4" s="1"/>
  <c r="BN30" i="4" s="1"/>
  <c r="V34" i="4"/>
  <c r="W34" i="4" s="1"/>
  <c r="BN34" i="4" s="1"/>
  <c r="V38" i="4"/>
  <c r="W38" i="4" s="1"/>
  <c r="BN38" i="4" s="1"/>
  <c r="V42" i="4"/>
  <c r="W42" i="4" s="1"/>
  <c r="BN42" i="4" s="1"/>
  <c r="V46" i="4"/>
  <c r="W46" i="4" s="1"/>
  <c r="BN46" i="4" s="1"/>
  <c r="V50" i="4"/>
  <c r="W50" i="4" s="1"/>
  <c r="BN50" i="4" s="1"/>
  <c r="V54" i="4"/>
  <c r="W54" i="4" s="1"/>
  <c r="BN54" i="4" s="1"/>
  <c r="V58" i="4"/>
  <c r="W58" i="4" s="1"/>
  <c r="BN58" i="4" s="1"/>
  <c r="V62" i="4"/>
  <c r="W62" i="4" s="1"/>
  <c r="BN62" i="4" s="1"/>
  <c r="V66" i="4"/>
  <c r="W66" i="4" s="1"/>
  <c r="BN66" i="4" s="1"/>
  <c r="V70" i="4"/>
  <c r="W70" i="4" s="1"/>
  <c r="BN70" i="4" s="1"/>
  <c r="V74" i="4"/>
  <c r="W74" i="4" s="1"/>
  <c r="BN74" i="4" s="1"/>
  <c r="V78" i="4"/>
  <c r="W78" i="4" s="1"/>
  <c r="BN78" i="4" s="1"/>
  <c r="V82" i="4"/>
  <c r="W82" i="4" s="1"/>
  <c r="BN82" i="4" s="1"/>
  <c r="V86" i="4"/>
  <c r="W86" i="4" s="1"/>
  <c r="BN86" i="4" s="1"/>
  <c r="V90" i="4"/>
  <c r="W90" i="4" s="1"/>
  <c r="BN90" i="4" s="1"/>
  <c r="V94" i="4"/>
  <c r="W94" i="4" s="1"/>
  <c r="BN94" i="4" s="1"/>
  <c r="V98" i="4"/>
  <c r="W98" i="4" s="1"/>
  <c r="BN98" i="4" s="1"/>
  <c r="V102" i="4"/>
  <c r="W102" i="4" s="1"/>
  <c r="BN102" i="4" s="1"/>
  <c r="V106" i="4"/>
  <c r="W106" i="4" s="1"/>
  <c r="BN106" i="4" s="1"/>
  <c r="X109" i="4"/>
  <c r="Y109" i="4" s="1"/>
  <c r="BO109" i="4" s="1"/>
  <c r="X105" i="4"/>
  <c r="Y105" i="4" s="1"/>
  <c r="BO105" i="4" s="1"/>
  <c r="X101" i="4"/>
  <c r="Y101" i="4" s="1"/>
  <c r="BO101" i="4" s="1"/>
  <c r="X97" i="4"/>
  <c r="Y97" i="4" s="1"/>
  <c r="BO97" i="4" s="1"/>
  <c r="X93" i="4"/>
  <c r="Y93" i="4" s="1"/>
  <c r="BO93" i="4" s="1"/>
  <c r="X89" i="4"/>
  <c r="Y89" i="4" s="1"/>
  <c r="BO89" i="4" s="1"/>
  <c r="X85" i="4"/>
  <c r="Y85" i="4" s="1"/>
  <c r="BO85" i="4" s="1"/>
  <c r="X10" i="4"/>
  <c r="Y10" i="4" s="1"/>
  <c r="BO10" i="4" s="1"/>
  <c r="X14" i="4"/>
  <c r="Y14" i="4" s="1"/>
  <c r="BO14" i="4" s="1"/>
  <c r="X18" i="4"/>
  <c r="Y18" i="4" s="1"/>
  <c r="BO18" i="4" s="1"/>
  <c r="X22" i="4"/>
  <c r="Y22" i="4" s="1"/>
  <c r="BO22" i="4" s="1"/>
  <c r="X26" i="4"/>
  <c r="Y26" i="4" s="1"/>
  <c r="BO26" i="4" s="1"/>
  <c r="X30" i="4"/>
  <c r="Y30" i="4" s="1"/>
  <c r="BO30" i="4" s="1"/>
  <c r="X34" i="4"/>
  <c r="Y34" i="4" s="1"/>
  <c r="BO34" i="4" s="1"/>
  <c r="X38" i="4"/>
  <c r="Y38" i="4" s="1"/>
  <c r="BO38" i="4" s="1"/>
  <c r="X42" i="4"/>
  <c r="Y42" i="4" s="1"/>
  <c r="BO42" i="4" s="1"/>
  <c r="X46" i="4"/>
  <c r="Y46" i="4" s="1"/>
  <c r="BO46" i="4" s="1"/>
  <c r="X50" i="4"/>
  <c r="Y50" i="4" s="1"/>
  <c r="BO50" i="4" s="1"/>
  <c r="X54" i="4"/>
  <c r="Y54" i="4" s="1"/>
  <c r="BO54" i="4" s="1"/>
  <c r="X58" i="4"/>
  <c r="Y58" i="4" s="1"/>
  <c r="BO58" i="4" s="1"/>
  <c r="X62" i="4"/>
  <c r="Y62" i="4" s="1"/>
  <c r="BO62" i="4" s="1"/>
  <c r="X66" i="4"/>
  <c r="Y66" i="4" s="1"/>
  <c r="BO66" i="4" s="1"/>
  <c r="X70" i="4"/>
  <c r="Y70" i="4" s="1"/>
  <c r="BO70" i="4" s="1"/>
  <c r="X74" i="4"/>
  <c r="Y74" i="4" s="1"/>
  <c r="BO74" i="4" s="1"/>
  <c r="X78" i="4"/>
  <c r="Y78" i="4" s="1"/>
  <c r="BO78" i="4" s="1"/>
  <c r="X82" i="4"/>
  <c r="Y82" i="4" s="1"/>
  <c r="BO82" i="4" s="1"/>
  <c r="X87" i="4"/>
  <c r="Y87" i="4" s="1"/>
  <c r="BO87" i="4" s="1"/>
  <c r="X92" i="4"/>
  <c r="Y92" i="4" s="1"/>
  <c r="BO92" i="4" s="1"/>
  <c r="X98" i="4"/>
  <c r="Y98" i="4" s="1"/>
  <c r="BO98" i="4" s="1"/>
  <c r="X103" i="4"/>
  <c r="Y103" i="4" s="1"/>
  <c r="BO103" i="4" s="1"/>
  <c r="X108" i="4"/>
  <c r="Y108" i="4" s="1"/>
  <c r="BO108" i="4" s="1"/>
  <c r="AB113" i="4"/>
  <c r="BE113" i="4"/>
  <c r="Z113" i="4"/>
  <c r="D11" i="3"/>
  <c r="E11" i="3" s="1"/>
  <c r="D27" i="3"/>
  <c r="E27" i="3" s="1"/>
  <c r="G10" i="3"/>
  <c r="D14" i="3"/>
  <c r="E14" i="3" s="1"/>
  <c r="D26" i="3"/>
  <c r="E26" i="3" s="1"/>
  <c r="G26" i="3"/>
  <c r="G30" i="3"/>
  <c r="G7" i="3"/>
  <c r="G11" i="3"/>
  <c r="G15" i="3"/>
  <c r="G19" i="3"/>
  <c r="G23" i="3"/>
  <c r="G27" i="3"/>
  <c r="G31" i="3"/>
  <c r="D43" i="3"/>
  <c r="E43" i="3" s="1"/>
  <c r="G71" i="3"/>
  <c r="G87" i="3"/>
  <c r="D103" i="3"/>
  <c r="E103" i="3" s="1"/>
  <c r="G103" i="3"/>
  <c r="F111" i="3"/>
  <c r="G32" i="3"/>
  <c r="D39" i="3"/>
  <c r="E39" i="3" s="1"/>
  <c r="G46" i="3"/>
  <c r="D55" i="3"/>
  <c r="E55" i="3" s="1"/>
  <c r="G62" i="3"/>
  <c r="C111" i="3"/>
  <c r="G5" i="3"/>
  <c r="D50" i="3"/>
  <c r="E50" i="3" s="1"/>
  <c r="D72" i="3"/>
  <c r="E72" i="3" s="1"/>
  <c r="D88" i="3"/>
  <c r="E88" i="3" s="1"/>
  <c r="G35" i="3"/>
  <c r="G39" i="3"/>
  <c r="G43" i="3"/>
  <c r="G47" i="3"/>
  <c r="G51" i="3"/>
  <c r="G55" i="3"/>
  <c r="G59" i="3"/>
  <c r="G63" i="3"/>
  <c r="D67" i="3"/>
  <c r="E67" i="3" s="1"/>
  <c r="D68" i="3"/>
  <c r="E68" i="3" s="1"/>
  <c r="D84" i="3"/>
  <c r="E84" i="3" s="1"/>
  <c r="D100" i="3"/>
  <c r="E100" i="3" s="1"/>
  <c r="D80" i="3"/>
  <c r="E80" i="3" s="1"/>
  <c r="D109" i="3"/>
  <c r="E109" i="3" s="1"/>
  <c r="D76" i="3"/>
  <c r="E76" i="3" s="1"/>
  <c r="D91" i="3"/>
  <c r="E91" i="3" s="1"/>
  <c r="D92" i="3"/>
  <c r="E92" i="3" s="1"/>
  <c r="G99" i="3"/>
  <c r="D107" i="3"/>
  <c r="E107" i="3" s="1"/>
  <c r="G108" i="3"/>
  <c r="G64" i="3"/>
  <c r="G68" i="3"/>
  <c r="G72" i="3"/>
  <c r="G76" i="3"/>
  <c r="G80" i="3"/>
  <c r="G84" i="3"/>
  <c r="G88" i="3"/>
  <c r="G92" i="3"/>
  <c r="G96" i="3"/>
  <c r="G100" i="3"/>
  <c r="G104" i="3"/>
  <c r="G105" i="3"/>
  <c r="G109" i="3"/>
  <c r="Z11" i="2"/>
  <c r="AM11" i="2"/>
  <c r="AJ12" i="2"/>
  <c r="AO12" i="2" s="1"/>
  <c r="Z12" i="2"/>
  <c r="AO19" i="2"/>
  <c r="AO23" i="2"/>
  <c r="Z7" i="2"/>
  <c r="AM7" i="2"/>
  <c r="AJ8" i="2"/>
  <c r="AO8" i="2" s="1"/>
  <c r="Z8" i="2"/>
  <c r="AO11" i="2"/>
  <c r="AO15" i="2"/>
  <c r="AO17" i="2"/>
  <c r="AM15" i="2"/>
  <c r="Z15" i="2"/>
  <c r="R85" i="2"/>
  <c r="S5" i="2"/>
  <c r="AO7" i="2"/>
  <c r="AO18" i="2"/>
  <c r="Z53" i="2"/>
  <c r="AM53" i="2"/>
  <c r="AO36" i="2"/>
  <c r="AO48" i="2"/>
  <c r="Z16" i="2"/>
  <c r="Z39" i="2"/>
  <c r="AM39" i="2"/>
  <c r="AM40" i="2"/>
  <c r="AO40" i="2" s="1"/>
  <c r="Z40" i="2"/>
  <c r="D85" i="2"/>
  <c r="E11" i="2" s="1"/>
  <c r="F11" i="2" s="1"/>
  <c r="H85" i="2"/>
  <c r="L85" i="2"/>
  <c r="AM6" i="2"/>
  <c r="AO6" i="2" s="1"/>
  <c r="AM10" i="2"/>
  <c r="AO10" i="2" s="1"/>
  <c r="AM14" i="2"/>
  <c r="AO14" i="2" s="1"/>
  <c r="AM18" i="2"/>
  <c r="Z19" i="2"/>
  <c r="AM22" i="2"/>
  <c r="AO22" i="2" s="1"/>
  <c r="Z23" i="2"/>
  <c r="Z26" i="2"/>
  <c r="AO31" i="2"/>
  <c r="AJ42" i="2"/>
  <c r="AO42" i="2" s="1"/>
  <c r="Z46" i="2"/>
  <c r="AM46" i="2"/>
  <c r="AO46" i="2" s="1"/>
  <c r="AJ47" i="2"/>
  <c r="AO47" i="2" s="1"/>
  <c r="Z47" i="2"/>
  <c r="AM48" i="2"/>
  <c r="Z48" i="2"/>
  <c r="AO49" i="2"/>
  <c r="Z56" i="2"/>
  <c r="AM56" i="2"/>
  <c r="AO57" i="2"/>
  <c r="AJ58" i="2"/>
  <c r="AO58" i="2" s="1"/>
  <c r="Z58" i="2"/>
  <c r="Z35" i="2"/>
  <c r="AM35" i="2"/>
  <c r="AO39" i="2"/>
  <c r="Z61" i="2"/>
  <c r="AM61" i="2"/>
  <c r="AO61" i="2" s="1"/>
  <c r="G85" i="2"/>
  <c r="E19" i="2"/>
  <c r="F19" i="2" s="1"/>
  <c r="Z20" i="2"/>
  <c r="AM27" i="2"/>
  <c r="AO27" i="2" s="1"/>
  <c r="E27" i="2"/>
  <c r="F27" i="2" s="1"/>
  <c r="AM36" i="2"/>
  <c r="Z37" i="2"/>
  <c r="Z45" i="2"/>
  <c r="AM45" i="2"/>
  <c r="AO45" i="2" s="1"/>
  <c r="I5" i="2"/>
  <c r="M85" i="2"/>
  <c r="Q85" i="2"/>
  <c r="Y85" i="2"/>
  <c r="AC85" i="2"/>
  <c r="AM5" i="2"/>
  <c r="AO5" i="2" s="1"/>
  <c r="I27" i="2"/>
  <c r="E28" i="2"/>
  <c r="F28" i="2" s="1"/>
  <c r="N28" i="2"/>
  <c r="AM28" i="2"/>
  <c r="AO28" i="2" s="1"/>
  <c r="Z29" i="2"/>
  <c r="Z31" i="2"/>
  <c r="AM31" i="2"/>
  <c r="Z32" i="2"/>
  <c r="S33" i="2"/>
  <c r="AO35" i="2"/>
  <c r="Z52" i="2"/>
  <c r="AM52" i="2"/>
  <c r="AO53" i="2"/>
  <c r="AJ54" i="2"/>
  <c r="AO54" i="2" s="1"/>
  <c r="Z54" i="2"/>
  <c r="Z57" i="2"/>
  <c r="AM57" i="2"/>
  <c r="Z60" i="2"/>
  <c r="AM60" i="2"/>
  <c r="AO60" i="2" s="1"/>
  <c r="AJ62" i="2"/>
  <c r="AO62" i="2" s="1"/>
  <c r="Z62" i="2"/>
  <c r="I60" i="2"/>
  <c r="N61" i="2"/>
  <c r="AO64" i="2"/>
  <c r="I40" i="2"/>
  <c r="S42" i="2"/>
  <c r="AM44" i="2"/>
  <c r="AO44" i="2" s="1"/>
  <c r="I48" i="2"/>
  <c r="AM70" i="2"/>
  <c r="AO70" i="2" s="1"/>
  <c r="E70" i="2"/>
  <c r="F70" i="2" s="1"/>
  <c r="AJ74" i="2"/>
  <c r="AO74" i="2" s="1"/>
  <c r="Z74" i="2"/>
  <c r="Z41" i="2"/>
  <c r="N45" i="2"/>
  <c r="N85" i="2" s="1"/>
  <c r="Z49" i="2"/>
  <c r="S50" i="2"/>
  <c r="AO52" i="2"/>
  <c r="AO56" i="2"/>
  <c r="E64" i="2"/>
  <c r="F64" i="2" s="1"/>
  <c r="Z72" i="2"/>
  <c r="AM72" i="2"/>
  <c r="E72" i="2"/>
  <c r="F72" i="2" s="1"/>
  <c r="AM64" i="2"/>
  <c r="AM69" i="2"/>
  <c r="AO69" i="2" s="1"/>
  <c r="Z77" i="2"/>
  <c r="AM77" i="2"/>
  <c r="AO77" i="2" s="1"/>
  <c r="Z68" i="2"/>
  <c r="N70" i="2"/>
  <c r="AO75" i="2"/>
  <c r="Z76" i="2"/>
  <c r="AM76" i="2"/>
  <c r="AO76" i="2" s="1"/>
  <c r="E76" i="2"/>
  <c r="F76" i="2" s="1"/>
  <c r="AM65" i="2"/>
  <c r="AO65" i="2" s="1"/>
  <c r="E65" i="2"/>
  <c r="F65" i="2" s="1"/>
  <c r="I69" i="2"/>
  <c r="Z73" i="2"/>
  <c r="AM73" i="2"/>
  <c r="AO73" i="2" s="1"/>
  <c r="AJ78" i="2"/>
  <c r="AO78" i="2" s="1"/>
  <c r="Z78" i="2"/>
  <c r="I72" i="2"/>
  <c r="N73" i="2"/>
  <c r="I76" i="2"/>
  <c r="N77" i="2"/>
  <c r="Z80" i="2"/>
  <c r="AM80" i="2"/>
  <c r="AO80" i="2" s="1"/>
  <c r="Z81" i="2"/>
  <c r="AM81" i="2"/>
  <c r="E81" i="2"/>
  <c r="F81" i="2" s="1"/>
  <c r="AJ82" i="2"/>
  <c r="AO82" i="2" s="1"/>
  <c r="Z82" i="2"/>
  <c r="AO81" i="2"/>
  <c r="AO72" i="2"/>
  <c r="AM84" i="2"/>
  <c r="AO84" i="2" s="1"/>
  <c r="E83" i="2"/>
  <c r="F83" i="2" s="1"/>
  <c r="I7" i="1"/>
  <c r="J7" i="1" s="1"/>
  <c r="N33" i="1"/>
  <c r="O33" i="1" s="1"/>
  <c r="D112" i="1"/>
  <c r="E5" i="1"/>
  <c r="R112" i="1"/>
  <c r="Y112" i="1"/>
  <c r="Z5" i="1"/>
  <c r="Z8" i="1"/>
  <c r="AA8" i="1" s="1"/>
  <c r="N9" i="1"/>
  <c r="O9" i="1" s="1"/>
  <c r="I11" i="1"/>
  <c r="J11" i="1" s="1"/>
  <c r="N18" i="1"/>
  <c r="O18" i="1" s="1"/>
  <c r="Z19" i="1"/>
  <c r="AA19" i="1" s="1"/>
  <c r="N22" i="1"/>
  <c r="O22" i="1" s="1"/>
  <c r="N30" i="1"/>
  <c r="O30" i="1" s="1"/>
  <c r="N34" i="1"/>
  <c r="O34" i="1" s="1"/>
  <c r="Z53" i="1"/>
  <c r="AA53" i="1" s="1"/>
  <c r="M112" i="1"/>
  <c r="N17" i="1" s="1"/>
  <c r="O17" i="1" s="1"/>
  <c r="N5" i="1"/>
  <c r="Z14" i="1"/>
  <c r="AA14" i="1" s="1"/>
  <c r="N21" i="1"/>
  <c r="O21" i="1" s="1"/>
  <c r="N29" i="1"/>
  <c r="O29" i="1" s="1"/>
  <c r="N11" i="1"/>
  <c r="O11" i="1" s="1"/>
  <c r="N15" i="1"/>
  <c r="O15" i="1" s="1"/>
  <c r="Z16" i="1"/>
  <c r="AA16" i="1" s="1"/>
  <c r="N19" i="1"/>
  <c r="O19" i="1" s="1"/>
  <c r="Z20" i="1"/>
  <c r="AA20" i="1" s="1"/>
  <c r="N23" i="1"/>
  <c r="O23" i="1" s="1"/>
  <c r="N27" i="1"/>
  <c r="O27" i="1" s="1"/>
  <c r="N31" i="1"/>
  <c r="O31" i="1" s="1"/>
  <c r="N35" i="1"/>
  <c r="O35" i="1" s="1"/>
  <c r="Z18" i="1"/>
  <c r="AA18" i="1" s="1"/>
  <c r="N25" i="1"/>
  <c r="O25" i="1" s="1"/>
  <c r="Z44" i="1"/>
  <c r="AA44" i="1" s="1"/>
  <c r="H112" i="1"/>
  <c r="I5" i="1"/>
  <c r="S9" i="1"/>
  <c r="Z10" i="1"/>
  <c r="AA10" i="1" s="1"/>
  <c r="I13" i="1"/>
  <c r="J13" i="1" s="1"/>
  <c r="Z6" i="1"/>
  <c r="AA6" i="1" s="1"/>
  <c r="S7" i="1"/>
  <c r="S11" i="1"/>
  <c r="Z12" i="1"/>
  <c r="AA12" i="1" s="1"/>
  <c r="N13" i="1"/>
  <c r="O13" i="1" s="1"/>
  <c r="N16" i="1"/>
  <c r="O16" i="1" s="1"/>
  <c r="Z17" i="1"/>
  <c r="AA17" i="1" s="1"/>
  <c r="N20" i="1"/>
  <c r="O20" i="1" s="1"/>
  <c r="Z21" i="1"/>
  <c r="AA21" i="1" s="1"/>
  <c r="N24" i="1"/>
  <c r="O24" i="1" s="1"/>
  <c r="N28" i="1"/>
  <c r="O28" i="1" s="1"/>
  <c r="N32" i="1"/>
  <c r="O32" i="1" s="1"/>
  <c r="N36" i="1"/>
  <c r="O36" i="1" s="1"/>
  <c r="I38" i="1"/>
  <c r="J38" i="1" s="1"/>
  <c r="S40" i="1"/>
  <c r="Z9" i="1"/>
  <c r="AA9" i="1" s="1"/>
  <c r="I12" i="1"/>
  <c r="J12" i="1" s="1"/>
  <c r="Z13" i="1"/>
  <c r="AA13" i="1" s="1"/>
  <c r="I15" i="1"/>
  <c r="J15" i="1" s="1"/>
  <c r="I16" i="1"/>
  <c r="J16" i="1" s="1"/>
  <c r="I17" i="1"/>
  <c r="J17" i="1" s="1"/>
  <c r="I18" i="1"/>
  <c r="J18" i="1" s="1"/>
  <c r="I19" i="1"/>
  <c r="J19" i="1" s="1"/>
  <c r="I20" i="1"/>
  <c r="J20" i="1" s="1"/>
  <c r="I21" i="1"/>
  <c r="J21" i="1" s="1"/>
  <c r="I22" i="1"/>
  <c r="J22" i="1" s="1"/>
  <c r="I23" i="1"/>
  <c r="J23" i="1" s="1"/>
  <c r="I24" i="1"/>
  <c r="J24" i="1" s="1"/>
  <c r="I25" i="1"/>
  <c r="J25" i="1" s="1"/>
  <c r="I26" i="1"/>
  <c r="J26" i="1" s="1"/>
  <c r="I27" i="1"/>
  <c r="J27" i="1" s="1"/>
  <c r="I28" i="1"/>
  <c r="J28" i="1" s="1"/>
  <c r="I29" i="1"/>
  <c r="J29" i="1" s="1"/>
  <c r="I30" i="1"/>
  <c r="J30" i="1" s="1"/>
  <c r="I31" i="1"/>
  <c r="J31" i="1" s="1"/>
  <c r="I32" i="1"/>
  <c r="J32" i="1" s="1"/>
  <c r="I33" i="1"/>
  <c r="J33" i="1" s="1"/>
  <c r="I34" i="1"/>
  <c r="J34" i="1" s="1"/>
  <c r="I35" i="1"/>
  <c r="J35" i="1" s="1"/>
  <c r="I36" i="1"/>
  <c r="J36" i="1" s="1"/>
  <c r="I37" i="1"/>
  <c r="J37" i="1" s="1"/>
  <c r="Z41" i="1"/>
  <c r="AA41" i="1" s="1"/>
  <c r="I43" i="1"/>
  <c r="J43" i="1" s="1"/>
  <c r="S44" i="1"/>
  <c r="I49" i="1"/>
  <c r="J49" i="1" s="1"/>
  <c r="I51" i="1"/>
  <c r="J51" i="1" s="1"/>
  <c r="S54" i="1"/>
  <c r="I55" i="1"/>
  <c r="J55" i="1" s="1"/>
  <c r="AB112" i="1"/>
  <c r="I6" i="1"/>
  <c r="J6" i="1" s="1"/>
  <c r="Z7" i="1"/>
  <c r="AA7" i="1" s="1"/>
  <c r="I10" i="1"/>
  <c r="J10" i="1" s="1"/>
  <c r="Z11" i="1"/>
  <c r="AA11" i="1" s="1"/>
  <c r="I14" i="1"/>
  <c r="J14" i="1" s="1"/>
  <c r="Z40" i="1"/>
  <c r="AA40" i="1" s="1"/>
  <c r="I46" i="1"/>
  <c r="J46" i="1" s="1"/>
  <c r="S49" i="1"/>
  <c r="Z22" i="1"/>
  <c r="AA22" i="1" s="1"/>
  <c r="Z23" i="1"/>
  <c r="AA23" i="1" s="1"/>
  <c r="Z24" i="1"/>
  <c r="AA24" i="1" s="1"/>
  <c r="Z25" i="1"/>
  <c r="AA25" i="1" s="1"/>
  <c r="Z26" i="1"/>
  <c r="AA26" i="1" s="1"/>
  <c r="Z27" i="1"/>
  <c r="AA27" i="1" s="1"/>
  <c r="Z28" i="1"/>
  <c r="AA28" i="1" s="1"/>
  <c r="Z29" i="1"/>
  <c r="AA29" i="1" s="1"/>
  <c r="Z30" i="1"/>
  <c r="AA30" i="1" s="1"/>
  <c r="Z31" i="1"/>
  <c r="AA31" i="1" s="1"/>
  <c r="Z32" i="1"/>
  <c r="AA32" i="1" s="1"/>
  <c r="Z33" i="1"/>
  <c r="AA33" i="1" s="1"/>
  <c r="Z34" i="1"/>
  <c r="AA34" i="1" s="1"/>
  <c r="Z35" i="1"/>
  <c r="AA35" i="1" s="1"/>
  <c r="Z36" i="1"/>
  <c r="AA36" i="1" s="1"/>
  <c r="Z37" i="1"/>
  <c r="AA37" i="1" s="1"/>
  <c r="I39" i="1"/>
  <c r="J39" i="1" s="1"/>
  <c r="I42" i="1"/>
  <c r="J42" i="1" s="1"/>
  <c r="Z45" i="1"/>
  <c r="AA45" i="1" s="1"/>
  <c r="I47" i="1"/>
  <c r="J47" i="1" s="1"/>
  <c r="I48" i="1"/>
  <c r="J48" i="1" s="1"/>
  <c r="N83" i="1"/>
  <c r="O83" i="1" s="1"/>
  <c r="I84" i="1"/>
  <c r="J84" i="1" s="1"/>
  <c r="I97" i="1"/>
  <c r="J97" i="1" s="1"/>
  <c r="N102" i="1"/>
  <c r="O102" i="1" s="1"/>
  <c r="N106" i="1"/>
  <c r="O106" i="1" s="1"/>
  <c r="N110" i="1"/>
  <c r="O110" i="1" s="1"/>
  <c r="S41" i="1"/>
  <c r="S45" i="1"/>
  <c r="Z51" i="1"/>
  <c r="AA51" i="1" s="1"/>
  <c r="I53" i="1"/>
  <c r="J53" i="1" s="1"/>
  <c r="S53" i="1"/>
  <c r="Z99" i="1"/>
  <c r="AA99" i="1" s="1"/>
  <c r="S38" i="1"/>
  <c r="S42" i="1"/>
  <c r="S46" i="1"/>
  <c r="S51" i="1"/>
  <c r="Z55" i="1"/>
  <c r="AA55" i="1" s="1"/>
  <c r="Z98" i="1"/>
  <c r="AA98" i="1" s="1"/>
  <c r="Z102" i="1"/>
  <c r="AA102" i="1" s="1"/>
  <c r="I103" i="1"/>
  <c r="J103" i="1" s="1"/>
  <c r="Z106" i="1"/>
  <c r="AA106" i="1" s="1"/>
  <c r="I107" i="1"/>
  <c r="J107" i="1" s="1"/>
  <c r="Z110" i="1"/>
  <c r="AA110" i="1" s="1"/>
  <c r="S39" i="1"/>
  <c r="S43" i="1"/>
  <c r="S47" i="1"/>
  <c r="S50" i="1"/>
  <c r="S55" i="1"/>
  <c r="Z83" i="1"/>
  <c r="AA83" i="1" s="1"/>
  <c r="Z84" i="1"/>
  <c r="AA84" i="1" s="1"/>
  <c r="Z86" i="1"/>
  <c r="AA86" i="1" s="1"/>
  <c r="Z88" i="1"/>
  <c r="AA88" i="1" s="1"/>
  <c r="Z90" i="1"/>
  <c r="AA90" i="1" s="1"/>
  <c r="Z92" i="1"/>
  <c r="AA92" i="1" s="1"/>
  <c r="Z94" i="1"/>
  <c r="AA94" i="1" s="1"/>
  <c r="Z95" i="1"/>
  <c r="AA95" i="1" s="1"/>
  <c r="Z97" i="1"/>
  <c r="AA97" i="1" s="1"/>
  <c r="S58" i="1"/>
  <c r="S60" i="1"/>
  <c r="S62" i="1"/>
  <c r="S64" i="1"/>
  <c r="S66" i="1"/>
  <c r="S68" i="1"/>
  <c r="S70" i="1"/>
  <c r="S72" i="1"/>
  <c r="S74" i="1"/>
  <c r="S76" i="1"/>
  <c r="S78" i="1"/>
  <c r="S80" i="1"/>
  <c r="S82" i="1"/>
  <c r="Z85" i="1"/>
  <c r="AA85" i="1" s="1"/>
  <c r="Z89" i="1"/>
  <c r="AA89" i="1" s="1"/>
  <c r="Z93" i="1"/>
  <c r="AA93" i="1" s="1"/>
  <c r="S96" i="1"/>
  <c r="Z105" i="1"/>
  <c r="AA105" i="1" s="1"/>
  <c r="I106" i="1"/>
  <c r="J106" i="1" s="1"/>
  <c r="S48" i="1"/>
  <c r="S52" i="1"/>
  <c r="S56" i="1"/>
  <c r="S57" i="1"/>
  <c r="S59" i="1"/>
  <c r="S61" i="1"/>
  <c r="S63" i="1"/>
  <c r="S65" i="1"/>
  <c r="S67" i="1"/>
  <c r="S69" i="1"/>
  <c r="S71" i="1"/>
  <c r="S73" i="1"/>
  <c r="S75" i="1"/>
  <c r="S77" i="1"/>
  <c r="S79" i="1"/>
  <c r="S81" i="1"/>
  <c r="Z87" i="1"/>
  <c r="AA87" i="1" s="1"/>
  <c r="Z91" i="1"/>
  <c r="AA91" i="1" s="1"/>
  <c r="Z101" i="1"/>
  <c r="AA101" i="1" s="1"/>
  <c r="I102" i="1"/>
  <c r="J102" i="1" s="1"/>
  <c r="Z109" i="1"/>
  <c r="AA109" i="1" s="1"/>
  <c r="I110" i="1"/>
  <c r="J110" i="1" s="1"/>
  <c r="I85" i="1"/>
  <c r="J85" i="1" s="1"/>
  <c r="I86" i="1"/>
  <c r="J86" i="1" s="1"/>
  <c r="I87" i="1"/>
  <c r="J87" i="1" s="1"/>
  <c r="I88" i="1"/>
  <c r="J88" i="1" s="1"/>
  <c r="I89" i="1"/>
  <c r="J89" i="1" s="1"/>
  <c r="I90" i="1"/>
  <c r="J90" i="1" s="1"/>
  <c r="I91" i="1"/>
  <c r="J91" i="1" s="1"/>
  <c r="I92" i="1"/>
  <c r="J92" i="1" s="1"/>
  <c r="I93" i="1"/>
  <c r="J93" i="1" s="1"/>
  <c r="I94" i="1"/>
  <c r="J94" i="1" s="1"/>
  <c r="I95" i="1"/>
  <c r="J95" i="1" s="1"/>
  <c r="N98" i="1"/>
  <c r="O98" i="1" s="1"/>
  <c r="N99" i="1"/>
  <c r="O99" i="1" s="1"/>
  <c r="N101" i="1"/>
  <c r="O101" i="1" s="1"/>
  <c r="N105" i="1"/>
  <c r="O105" i="1" s="1"/>
  <c r="N109" i="1"/>
  <c r="O109" i="1" s="1"/>
  <c r="S97" i="1"/>
  <c r="S98" i="1"/>
  <c r="S99" i="1"/>
  <c r="I96" i="1"/>
  <c r="J96" i="1" s="1"/>
  <c r="I98" i="1"/>
  <c r="J98" i="1" s="1"/>
  <c r="I99" i="1"/>
  <c r="J99" i="1" s="1"/>
  <c r="I100" i="1"/>
  <c r="J100" i="1" s="1"/>
  <c r="N103" i="1"/>
  <c r="O103" i="1" s="1"/>
  <c r="Z103" i="1"/>
  <c r="AA103" i="1" s="1"/>
  <c r="I104" i="1"/>
  <c r="J104" i="1" s="1"/>
  <c r="N107" i="1"/>
  <c r="O107" i="1" s="1"/>
  <c r="Z107" i="1"/>
  <c r="AA107" i="1" s="1"/>
  <c r="I108" i="1"/>
  <c r="J108" i="1" s="1"/>
  <c r="Z96" i="1"/>
  <c r="AA96" i="1" s="1"/>
  <c r="N100" i="1"/>
  <c r="O100" i="1" s="1"/>
  <c r="Z100" i="1"/>
  <c r="AA100" i="1" s="1"/>
  <c r="I101" i="1"/>
  <c r="J101" i="1" s="1"/>
  <c r="N104" i="1"/>
  <c r="O104" i="1" s="1"/>
  <c r="Z104" i="1"/>
  <c r="AA104" i="1" s="1"/>
  <c r="I105" i="1"/>
  <c r="J105" i="1" s="1"/>
  <c r="N108" i="1"/>
  <c r="O108" i="1" s="1"/>
  <c r="Z108" i="1"/>
  <c r="AA108" i="1" s="1"/>
  <c r="I109" i="1"/>
  <c r="J109" i="1" s="1"/>
  <c r="Z93" i="4" l="1"/>
  <c r="AB105" i="4"/>
  <c r="AB57" i="4"/>
  <c r="Z25" i="4"/>
  <c r="AE105" i="4"/>
  <c r="BP105" i="4"/>
  <c r="Z85" i="4"/>
  <c r="AB77" i="4"/>
  <c r="Z65" i="4"/>
  <c r="AB49" i="4"/>
  <c r="V113" i="4"/>
  <c r="BM57" i="4"/>
  <c r="U56" i="4"/>
  <c r="BM56" i="4" s="1"/>
  <c r="L113" i="4"/>
  <c r="AB87" i="4"/>
  <c r="Z87" i="4"/>
  <c r="BE87" i="4"/>
  <c r="BE55" i="4"/>
  <c r="Z55" i="4"/>
  <c r="AB55" i="4"/>
  <c r="BE23" i="4"/>
  <c r="AB23" i="4"/>
  <c r="Z23" i="4"/>
  <c r="D113" i="4"/>
  <c r="E7" i="4"/>
  <c r="E56" i="4" s="1"/>
  <c r="BE86" i="4"/>
  <c r="AB86" i="4"/>
  <c r="Z86" i="4"/>
  <c r="AB54" i="4"/>
  <c r="Z54" i="4"/>
  <c r="BE54" i="4"/>
  <c r="AB38" i="4"/>
  <c r="Z38" i="4"/>
  <c r="BE38" i="4"/>
  <c r="AB109" i="4"/>
  <c r="Z69" i="4"/>
  <c r="Z33" i="4"/>
  <c r="AB37" i="4"/>
  <c r="Z21" i="4"/>
  <c r="T113" i="4"/>
  <c r="BE80" i="4"/>
  <c r="AB80" i="4"/>
  <c r="Z80" i="4"/>
  <c r="AB64" i="4"/>
  <c r="Z64" i="4"/>
  <c r="BE64" i="4"/>
  <c r="AB48" i="4"/>
  <c r="Z48" i="4"/>
  <c r="BE48" i="4"/>
  <c r="AB32" i="4"/>
  <c r="Z32" i="4"/>
  <c r="BE32" i="4"/>
  <c r="AB16" i="4"/>
  <c r="Z16" i="4"/>
  <c r="BE16" i="4"/>
  <c r="Z73" i="4"/>
  <c r="AB65" i="4"/>
  <c r="F113" i="4"/>
  <c r="G7" i="4"/>
  <c r="BF7" i="4" s="1"/>
  <c r="AB83" i="4"/>
  <c r="Z83" i="4"/>
  <c r="BE83" i="4"/>
  <c r="BE51" i="4"/>
  <c r="AB51" i="4"/>
  <c r="Z51" i="4"/>
  <c r="BE19" i="4"/>
  <c r="Z19" i="4"/>
  <c r="AB19" i="4"/>
  <c r="BE98" i="4"/>
  <c r="AB98" i="4"/>
  <c r="Z98" i="4"/>
  <c r="BE82" i="4"/>
  <c r="Z82" i="4"/>
  <c r="AB82" i="4"/>
  <c r="AB66" i="4"/>
  <c r="Z66" i="4"/>
  <c r="BE66" i="4"/>
  <c r="AB50" i="4"/>
  <c r="Z50" i="4"/>
  <c r="BE50" i="4"/>
  <c r="AB34" i="4"/>
  <c r="Z34" i="4"/>
  <c r="BE34" i="4"/>
  <c r="AB18" i="4"/>
  <c r="Z18" i="4"/>
  <c r="BE18" i="4"/>
  <c r="G56" i="4"/>
  <c r="BF56" i="4" s="1"/>
  <c r="Z89" i="4"/>
  <c r="AB81" i="4"/>
  <c r="AB61" i="4"/>
  <c r="AB41" i="4"/>
  <c r="Z9" i="4"/>
  <c r="AB29" i="4"/>
  <c r="Z37" i="4"/>
  <c r="Z17" i="4"/>
  <c r="AB13" i="4"/>
  <c r="BE108" i="4"/>
  <c r="AB108" i="4"/>
  <c r="Z108" i="4"/>
  <c r="BE92" i="4"/>
  <c r="AB92" i="4"/>
  <c r="Z92" i="4"/>
  <c r="BE76" i="4"/>
  <c r="AB76" i="4"/>
  <c r="Z76" i="4"/>
  <c r="AB60" i="4"/>
  <c r="Z60" i="4"/>
  <c r="BE60" i="4"/>
  <c r="AB44" i="4"/>
  <c r="Z44" i="4"/>
  <c r="BE44" i="4"/>
  <c r="AB28" i="4"/>
  <c r="Z28" i="4"/>
  <c r="BE28" i="4"/>
  <c r="AB12" i="4"/>
  <c r="BE12" i="4"/>
  <c r="Z12" i="4"/>
  <c r="X113" i="4"/>
  <c r="Z105" i="4"/>
  <c r="AB93" i="4"/>
  <c r="AB33" i="4"/>
  <c r="R113" i="4"/>
  <c r="S7" i="4"/>
  <c r="BL7" i="4" s="1"/>
  <c r="H113" i="4"/>
  <c r="I7" i="4"/>
  <c r="BG7" i="4" s="1"/>
  <c r="AB111" i="4"/>
  <c r="BE111" i="4"/>
  <c r="Z111" i="4"/>
  <c r="AB95" i="4"/>
  <c r="Z95" i="4"/>
  <c r="BE95" i="4"/>
  <c r="AB79" i="4"/>
  <c r="Z79" i="4"/>
  <c r="BE79" i="4"/>
  <c r="BE63" i="4"/>
  <c r="Z63" i="4"/>
  <c r="AB63" i="4"/>
  <c r="BE47" i="4"/>
  <c r="Z47" i="4"/>
  <c r="AB47" i="4"/>
  <c r="BE31" i="4"/>
  <c r="AB31" i="4"/>
  <c r="Z31" i="4"/>
  <c r="BE15" i="4"/>
  <c r="Z15" i="4"/>
  <c r="AB15" i="4"/>
  <c r="P113" i="4"/>
  <c r="Q7" i="4"/>
  <c r="BK7" i="4" s="1"/>
  <c r="BE110" i="4"/>
  <c r="AB110" i="4"/>
  <c r="Z110" i="4"/>
  <c r="BE94" i="4"/>
  <c r="AB94" i="4"/>
  <c r="Z94" i="4"/>
  <c r="BE78" i="4"/>
  <c r="AB78" i="4"/>
  <c r="Z78" i="4"/>
  <c r="AB62" i="4"/>
  <c r="Z62" i="4"/>
  <c r="BE62" i="4"/>
  <c r="AB46" i="4"/>
  <c r="Z46" i="4"/>
  <c r="BE46" i="4"/>
  <c r="AB30" i="4"/>
  <c r="Z30" i="4"/>
  <c r="BE30" i="4"/>
  <c r="AB14" i="4"/>
  <c r="BE14" i="4"/>
  <c r="Z14" i="4"/>
  <c r="Z61" i="4"/>
  <c r="Z109" i="4"/>
  <c r="Z97" i="4"/>
  <c r="AB89" i="4"/>
  <c r="AB69" i="4"/>
  <c r="AB9" i="4"/>
  <c r="Z29" i="4"/>
  <c r="Z112" i="4"/>
  <c r="AB45" i="4"/>
  <c r="Z13" i="4"/>
  <c r="BE100" i="4"/>
  <c r="AB100" i="4"/>
  <c r="Z100" i="4"/>
  <c r="BE84" i="4"/>
  <c r="AB84" i="4"/>
  <c r="Z84" i="4"/>
  <c r="AB68" i="4"/>
  <c r="Z68" i="4"/>
  <c r="BE68" i="4"/>
  <c r="AB52" i="4"/>
  <c r="Z52" i="4"/>
  <c r="BE52" i="4"/>
  <c r="AB36" i="4"/>
  <c r="Z36" i="4"/>
  <c r="BE36" i="4"/>
  <c r="AB20" i="4"/>
  <c r="Z20" i="4"/>
  <c r="BE20" i="4"/>
  <c r="M56" i="4"/>
  <c r="BI56" i="4" s="1"/>
  <c r="BI5" i="4" s="1"/>
  <c r="BP57" i="4"/>
  <c r="AE57" i="4"/>
  <c r="AB17" i="4"/>
  <c r="AB103" i="4"/>
  <c r="BE103" i="4"/>
  <c r="Z103" i="4"/>
  <c r="Z71" i="4"/>
  <c r="BE71" i="4"/>
  <c r="AB71" i="4"/>
  <c r="BE39" i="4"/>
  <c r="AB39" i="4"/>
  <c r="Z39" i="4"/>
  <c r="BE102" i="4"/>
  <c r="AB102" i="4"/>
  <c r="Z102" i="4"/>
  <c r="Z70" i="4"/>
  <c r="AB70" i="4"/>
  <c r="BE70" i="4"/>
  <c r="AB22" i="4"/>
  <c r="Z22" i="4"/>
  <c r="BE22" i="4"/>
  <c r="Z81" i="4"/>
  <c r="W56" i="4"/>
  <c r="BN56" i="4" s="1"/>
  <c r="BN57" i="4"/>
  <c r="BE96" i="4"/>
  <c r="Z96" i="4"/>
  <c r="AB96" i="4"/>
  <c r="Z101" i="4"/>
  <c r="AB85" i="4"/>
  <c r="AB99" i="4"/>
  <c r="Z99" i="4"/>
  <c r="BE99" i="4"/>
  <c r="BE67" i="4"/>
  <c r="AB67" i="4"/>
  <c r="Z67" i="4"/>
  <c r="BE35" i="4"/>
  <c r="Z35" i="4"/>
  <c r="AB35" i="4"/>
  <c r="Z41" i="4"/>
  <c r="AE113" i="4"/>
  <c r="BP113" i="4"/>
  <c r="Y56" i="4"/>
  <c r="BO56" i="4" s="1"/>
  <c r="BO57" i="4"/>
  <c r="BE104" i="4"/>
  <c r="AB104" i="4"/>
  <c r="Z104" i="4"/>
  <c r="BE88" i="4"/>
  <c r="AB88" i="4"/>
  <c r="Z88" i="4"/>
  <c r="Z72" i="4"/>
  <c r="AB72" i="4"/>
  <c r="BE72" i="4"/>
  <c r="AB40" i="4"/>
  <c r="Z40" i="4"/>
  <c r="BE40" i="4"/>
  <c r="AB24" i="4"/>
  <c r="Z24" i="4"/>
  <c r="BE24" i="4"/>
  <c r="AB8" i="4"/>
  <c r="Z8" i="4"/>
  <c r="BE8" i="4"/>
  <c r="Z53" i="4"/>
  <c r="AB101" i="4"/>
  <c r="Z77" i="4"/>
  <c r="AB73" i="4"/>
  <c r="Z57" i="4"/>
  <c r="Z49" i="4"/>
  <c r="BN5" i="4"/>
  <c r="J113" i="4"/>
  <c r="K7" i="4"/>
  <c r="BH7" i="4" s="1"/>
  <c r="AB107" i="4"/>
  <c r="BE107" i="4"/>
  <c r="Z107" i="4"/>
  <c r="AB91" i="4"/>
  <c r="Z91" i="4"/>
  <c r="BE91" i="4"/>
  <c r="AB75" i="4"/>
  <c r="BE75" i="4"/>
  <c r="Z75" i="4"/>
  <c r="BE59" i="4"/>
  <c r="AB59" i="4"/>
  <c r="Z59" i="4"/>
  <c r="BE43" i="4"/>
  <c r="Z43" i="4"/>
  <c r="AB43" i="4"/>
  <c r="BE27" i="4"/>
  <c r="Z27" i="4"/>
  <c r="AB27" i="4"/>
  <c r="BE11" i="4"/>
  <c r="AB11" i="4"/>
  <c r="Z11" i="4"/>
  <c r="BE106" i="4"/>
  <c r="AB106" i="4"/>
  <c r="Z106" i="4"/>
  <c r="BE90" i="4"/>
  <c r="Z90" i="4"/>
  <c r="AB90" i="4"/>
  <c r="BE74" i="4"/>
  <c r="AB74" i="4"/>
  <c r="Z74" i="4"/>
  <c r="AB58" i="4"/>
  <c r="Z58" i="4"/>
  <c r="BE58" i="4"/>
  <c r="AB42" i="4"/>
  <c r="Z42" i="4"/>
  <c r="BE42" i="4"/>
  <c r="AB26" i="4"/>
  <c r="Z26" i="4"/>
  <c r="BE26" i="4"/>
  <c r="AB10" i="4"/>
  <c r="Z10" i="4"/>
  <c r="BE10" i="4"/>
  <c r="BK57" i="4"/>
  <c r="AB97" i="4"/>
  <c r="AB53" i="4"/>
  <c r="AB25" i="4"/>
  <c r="AB21" i="4"/>
  <c r="AB112" i="4"/>
  <c r="Z45" i="4"/>
  <c r="H30" i="3"/>
  <c r="I30" i="3" s="1"/>
  <c r="H92" i="3"/>
  <c r="I92" i="3" s="1"/>
  <c r="J92" i="3" s="1"/>
  <c r="L92" i="3" s="1"/>
  <c r="J88" i="3"/>
  <c r="L88" i="3" s="1"/>
  <c r="D101" i="3"/>
  <c r="E101" i="3" s="1"/>
  <c r="D97" i="3"/>
  <c r="E97" i="3" s="1"/>
  <c r="D93" i="3"/>
  <c r="E93" i="3" s="1"/>
  <c r="D89" i="3"/>
  <c r="E89" i="3" s="1"/>
  <c r="D85" i="3"/>
  <c r="E85" i="3" s="1"/>
  <c r="D81" i="3"/>
  <c r="E81" i="3" s="1"/>
  <c r="D77" i="3"/>
  <c r="E77" i="3" s="1"/>
  <c r="D73" i="3"/>
  <c r="E73" i="3" s="1"/>
  <c r="D69" i="3"/>
  <c r="E69" i="3" s="1"/>
  <c r="D65" i="3"/>
  <c r="E65" i="3" s="1"/>
  <c r="D108" i="3"/>
  <c r="E108" i="3" s="1"/>
  <c r="D110" i="3"/>
  <c r="E110" i="3" s="1"/>
  <c r="D94" i="3"/>
  <c r="E94" i="3" s="1"/>
  <c r="D78" i="3"/>
  <c r="E78" i="3" s="1"/>
  <c r="D60" i="3"/>
  <c r="E60" i="3" s="1"/>
  <c r="D56" i="3"/>
  <c r="E56" i="3" s="1"/>
  <c r="D52" i="3"/>
  <c r="E52" i="3" s="1"/>
  <c r="D48" i="3"/>
  <c r="E48" i="3" s="1"/>
  <c r="D44" i="3"/>
  <c r="E44" i="3" s="1"/>
  <c r="D40" i="3"/>
  <c r="E40" i="3" s="1"/>
  <c r="D36" i="3"/>
  <c r="E36" i="3" s="1"/>
  <c r="D98" i="3"/>
  <c r="E98" i="3" s="1"/>
  <c r="D82" i="3"/>
  <c r="E82" i="3" s="1"/>
  <c r="D66" i="3"/>
  <c r="E66" i="3" s="1"/>
  <c r="D102" i="3"/>
  <c r="E102" i="3" s="1"/>
  <c r="D86" i="3"/>
  <c r="E86" i="3" s="1"/>
  <c r="D70" i="3"/>
  <c r="E70" i="3" s="1"/>
  <c r="D53" i="3"/>
  <c r="E53" i="3" s="1"/>
  <c r="D37" i="3"/>
  <c r="E37" i="3" s="1"/>
  <c r="D32" i="3"/>
  <c r="E32" i="3" s="1"/>
  <c r="D28" i="3"/>
  <c r="E28" i="3" s="1"/>
  <c r="D24" i="3"/>
  <c r="E24" i="3" s="1"/>
  <c r="D20" i="3"/>
  <c r="E20" i="3" s="1"/>
  <c r="D16" i="3"/>
  <c r="E16" i="3" s="1"/>
  <c r="D12" i="3"/>
  <c r="E12" i="3" s="1"/>
  <c r="D8" i="3"/>
  <c r="E8" i="3" s="1"/>
  <c r="D29" i="3"/>
  <c r="E29" i="3" s="1"/>
  <c r="D25" i="3"/>
  <c r="E25" i="3" s="1"/>
  <c r="D57" i="3"/>
  <c r="E57" i="3" s="1"/>
  <c r="D41" i="3"/>
  <c r="E41" i="3" s="1"/>
  <c r="D21" i="3"/>
  <c r="E21" i="3" s="1"/>
  <c r="D106" i="3"/>
  <c r="E106" i="3" s="1"/>
  <c r="D90" i="3"/>
  <c r="E90" i="3" s="1"/>
  <c r="D74" i="3"/>
  <c r="E74" i="3" s="1"/>
  <c r="D61" i="3"/>
  <c r="E61" i="3" s="1"/>
  <c r="D45" i="3"/>
  <c r="E45" i="3" s="1"/>
  <c r="D49" i="3"/>
  <c r="E49" i="3" s="1"/>
  <c r="D17" i="3"/>
  <c r="E17" i="3" s="1"/>
  <c r="D5" i="3"/>
  <c r="D9" i="3"/>
  <c r="E9" i="3" s="1"/>
  <c r="D13" i="3"/>
  <c r="E13" i="3" s="1"/>
  <c r="D54" i="3"/>
  <c r="E54" i="3" s="1"/>
  <c r="D38" i="3"/>
  <c r="E38" i="3" s="1"/>
  <c r="D46" i="3"/>
  <c r="E46" i="3" s="1"/>
  <c r="D59" i="3"/>
  <c r="E59" i="3" s="1"/>
  <c r="D42" i="3"/>
  <c r="E42" i="3" s="1"/>
  <c r="D62" i="3"/>
  <c r="E62" i="3" s="1"/>
  <c r="H26" i="3"/>
  <c r="I26" i="3" s="1"/>
  <c r="J26" i="3" s="1"/>
  <c r="L26" i="3" s="1"/>
  <c r="D19" i="3"/>
  <c r="E19" i="3" s="1"/>
  <c r="D7" i="3"/>
  <c r="E7" i="3" s="1"/>
  <c r="H99" i="3"/>
  <c r="I99" i="3" s="1"/>
  <c r="G111" i="3"/>
  <c r="H43" i="3" s="1"/>
  <c r="I43" i="3" s="1"/>
  <c r="J43" i="3" s="1"/>
  <c r="L43" i="3" s="1"/>
  <c r="H19" i="3"/>
  <c r="I19" i="3" s="1"/>
  <c r="H10" i="3"/>
  <c r="I10" i="3" s="1"/>
  <c r="H88" i="3"/>
  <c r="I88" i="3" s="1"/>
  <c r="D75" i="3"/>
  <c r="E75" i="3" s="1"/>
  <c r="D96" i="3"/>
  <c r="E96" i="3" s="1"/>
  <c r="D79" i="3"/>
  <c r="E79" i="3" s="1"/>
  <c r="D99" i="3"/>
  <c r="E99" i="3" s="1"/>
  <c r="D83" i="3"/>
  <c r="E83" i="3" s="1"/>
  <c r="H35" i="3"/>
  <c r="I35" i="3" s="1"/>
  <c r="D64" i="3"/>
  <c r="E64" i="3" s="1"/>
  <c r="D63" i="3"/>
  <c r="E63" i="3" s="1"/>
  <c r="H87" i="3"/>
  <c r="I87" i="3" s="1"/>
  <c r="H71" i="3"/>
  <c r="I71" i="3" s="1"/>
  <c r="D58" i="3"/>
  <c r="E58" i="3" s="1"/>
  <c r="H23" i="3"/>
  <c r="I23" i="3" s="1"/>
  <c r="H11" i="3"/>
  <c r="I11" i="3" s="1"/>
  <c r="D47" i="3"/>
  <c r="E47" i="3" s="1"/>
  <c r="J47" i="3" s="1"/>
  <c r="L47" i="3" s="1"/>
  <c r="D30" i="3"/>
  <c r="E30" i="3" s="1"/>
  <c r="D18" i="3"/>
  <c r="E18" i="3" s="1"/>
  <c r="D31" i="3"/>
  <c r="E31" i="3" s="1"/>
  <c r="D23" i="3"/>
  <c r="E23" i="3" s="1"/>
  <c r="J23" i="3" s="1"/>
  <c r="L23" i="3" s="1"/>
  <c r="D6" i="3"/>
  <c r="E6" i="3" s="1"/>
  <c r="H80" i="3"/>
  <c r="I80" i="3" s="1"/>
  <c r="J80" i="3" s="1"/>
  <c r="L80" i="3" s="1"/>
  <c r="H32" i="3"/>
  <c r="I32" i="3" s="1"/>
  <c r="J11" i="3"/>
  <c r="L11" i="3" s="1"/>
  <c r="H100" i="3"/>
  <c r="I100" i="3" s="1"/>
  <c r="J100" i="3" s="1"/>
  <c r="L100" i="3" s="1"/>
  <c r="H84" i="3"/>
  <c r="I84" i="3" s="1"/>
  <c r="J84" i="3" s="1"/>
  <c r="L84" i="3" s="1"/>
  <c r="H68" i="3"/>
  <c r="I68" i="3" s="1"/>
  <c r="J68" i="3" s="1"/>
  <c r="L68" i="3" s="1"/>
  <c r="D105" i="3"/>
  <c r="E105" i="3" s="1"/>
  <c r="D95" i="3"/>
  <c r="E95" i="3" s="1"/>
  <c r="H63" i="3"/>
  <c r="I63" i="3" s="1"/>
  <c r="H47" i="3"/>
  <c r="I47" i="3" s="1"/>
  <c r="D104" i="3"/>
  <c r="E104" i="3" s="1"/>
  <c r="D51" i="3"/>
  <c r="E51" i="3" s="1"/>
  <c r="D35" i="3"/>
  <c r="E35" i="3" s="1"/>
  <c r="J35" i="3" s="1"/>
  <c r="L35" i="3" s="1"/>
  <c r="H62" i="3"/>
  <c r="I62" i="3" s="1"/>
  <c r="H46" i="3"/>
  <c r="I46" i="3" s="1"/>
  <c r="D34" i="3"/>
  <c r="E34" i="3" s="1"/>
  <c r="H103" i="3"/>
  <c r="I103" i="3" s="1"/>
  <c r="J103" i="3" s="1"/>
  <c r="L103" i="3" s="1"/>
  <c r="D87" i="3"/>
  <c r="E87" i="3" s="1"/>
  <c r="J87" i="3" s="1"/>
  <c r="L87" i="3" s="1"/>
  <c r="D71" i="3"/>
  <c r="E71" i="3" s="1"/>
  <c r="D33" i="3"/>
  <c r="E33" i="3" s="1"/>
  <c r="D22" i="3"/>
  <c r="E22" i="3" s="1"/>
  <c r="H7" i="3"/>
  <c r="I7" i="3" s="1"/>
  <c r="D15" i="3"/>
  <c r="E15" i="3" s="1"/>
  <c r="D10" i="3"/>
  <c r="E10" i="3" s="1"/>
  <c r="O72" i="2"/>
  <c r="P72" i="2" s="1"/>
  <c r="O59" i="2"/>
  <c r="P59" i="2" s="1"/>
  <c r="O55" i="2"/>
  <c r="P55" i="2" s="1"/>
  <c r="O31" i="2"/>
  <c r="P31" i="2" s="1"/>
  <c r="O65" i="2"/>
  <c r="P65" i="2" s="1"/>
  <c r="O6" i="2"/>
  <c r="P6" i="2" s="1"/>
  <c r="O10" i="2"/>
  <c r="P10" i="2" s="1"/>
  <c r="O5" i="2"/>
  <c r="O8" i="2"/>
  <c r="P8" i="2" s="1"/>
  <c r="O21" i="2"/>
  <c r="P21" i="2" s="1"/>
  <c r="O18" i="2"/>
  <c r="P18" i="2" s="1"/>
  <c r="O22" i="2"/>
  <c r="P22" i="2" s="1"/>
  <c r="O30" i="2"/>
  <c r="P30" i="2" s="1"/>
  <c r="O13" i="2"/>
  <c r="P13" i="2" s="1"/>
  <c r="O17" i="2"/>
  <c r="P17" i="2" s="1"/>
  <c r="O20" i="2"/>
  <c r="P20" i="2" s="1"/>
  <c r="O46" i="2"/>
  <c r="P46" i="2" s="1"/>
  <c r="O74" i="2"/>
  <c r="P74" i="2" s="1"/>
  <c r="O82" i="2"/>
  <c r="P82" i="2" s="1"/>
  <c r="O47" i="2"/>
  <c r="P47" i="2" s="1"/>
  <c r="O64" i="2"/>
  <c r="P64" i="2" s="1"/>
  <c r="O14" i="2"/>
  <c r="P14" i="2" s="1"/>
  <c r="O12" i="2"/>
  <c r="P12" i="2" s="1"/>
  <c r="O25" i="2"/>
  <c r="P25" i="2" s="1"/>
  <c r="O29" i="2"/>
  <c r="P29" i="2" s="1"/>
  <c r="O38" i="2"/>
  <c r="P38" i="2" s="1"/>
  <c r="O11" i="2"/>
  <c r="P11" i="2" s="1"/>
  <c r="O24" i="2"/>
  <c r="P24" i="2" s="1"/>
  <c r="O42" i="2"/>
  <c r="P42" i="2" s="1"/>
  <c r="O50" i="2"/>
  <c r="P50" i="2" s="1"/>
  <c r="O44" i="2"/>
  <c r="P44" i="2" s="1"/>
  <c r="O68" i="2"/>
  <c r="P68" i="2" s="1"/>
  <c r="O57" i="2"/>
  <c r="P57" i="2" s="1"/>
  <c r="O58" i="2"/>
  <c r="P58" i="2" s="1"/>
  <c r="O81" i="2"/>
  <c r="P81" i="2" s="1"/>
  <c r="O80" i="2"/>
  <c r="P80" i="2" s="1"/>
  <c r="O9" i="2"/>
  <c r="P9" i="2" s="1"/>
  <c r="O40" i="2"/>
  <c r="P40" i="2" s="1"/>
  <c r="O37" i="2"/>
  <c r="P37" i="2" s="1"/>
  <c r="O34" i="2"/>
  <c r="P34" i="2" s="1"/>
  <c r="O26" i="2"/>
  <c r="P26" i="2" s="1"/>
  <c r="O33" i="2"/>
  <c r="P33" i="2" s="1"/>
  <c r="O56" i="2"/>
  <c r="P56" i="2" s="1"/>
  <c r="O76" i="2"/>
  <c r="P76" i="2" s="1"/>
  <c r="O48" i="2"/>
  <c r="P48" i="2" s="1"/>
  <c r="O49" i="2"/>
  <c r="P49" i="2" s="1"/>
  <c r="O52" i="2"/>
  <c r="P52" i="2" s="1"/>
  <c r="O36" i="2"/>
  <c r="P36" i="2" s="1"/>
  <c r="O41" i="2"/>
  <c r="P41" i="2" s="1"/>
  <c r="O51" i="2"/>
  <c r="P51" i="2" s="1"/>
  <c r="O53" i="2"/>
  <c r="P53" i="2" s="1"/>
  <c r="O69" i="2"/>
  <c r="P69" i="2" s="1"/>
  <c r="O54" i="2"/>
  <c r="P54" i="2" s="1"/>
  <c r="O62" i="2"/>
  <c r="P62" i="2" s="1"/>
  <c r="O75" i="2"/>
  <c r="P75" i="2" s="1"/>
  <c r="O71" i="2"/>
  <c r="P71" i="2" s="1"/>
  <c r="O84" i="2"/>
  <c r="P84" i="2" s="1"/>
  <c r="O15" i="2"/>
  <c r="P15" i="2" s="1"/>
  <c r="O23" i="2"/>
  <c r="P23" i="2" s="1"/>
  <c r="O27" i="2"/>
  <c r="P27" i="2" s="1"/>
  <c r="O78" i="2"/>
  <c r="P78" i="2" s="1"/>
  <c r="O63" i="2"/>
  <c r="P63" i="2" s="1"/>
  <c r="O67" i="2"/>
  <c r="P67" i="2" s="1"/>
  <c r="O79" i="2"/>
  <c r="P79" i="2" s="1"/>
  <c r="O35" i="2"/>
  <c r="P35" i="2" s="1"/>
  <c r="O16" i="2"/>
  <c r="P16" i="2" s="1"/>
  <c r="O39" i="2"/>
  <c r="P39" i="2" s="1"/>
  <c r="O19" i="2"/>
  <c r="P19" i="2" s="1"/>
  <c r="O32" i="2"/>
  <c r="P32" i="2" s="1"/>
  <c r="O66" i="2"/>
  <c r="P66" i="2" s="1"/>
  <c r="O43" i="2"/>
  <c r="P43" i="2" s="1"/>
  <c r="O60" i="2"/>
  <c r="P60" i="2" s="1"/>
  <c r="O83" i="2"/>
  <c r="P83" i="2" s="1"/>
  <c r="O7" i="2"/>
  <c r="P7" i="2" s="1"/>
  <c r="T50" i="2"/>
  <c r="T33" i="2"/>
  <c r="E75" i="2"/>
  <c r="F75" i="2" s="1"/>
  <c r="E78" i="2"/>
  <c r="F78" i="2" s="1"/>
  <c r="E74" i="2"/>
  <c r="F74" i="2" s="1"/>
  <c r="E71" i="2"/>
  <c r="F71" i="2" s="1"/>
  <c r="E66" i="2"/>
  <c r="F66" i="2" s="1"/>
  <c r="E59" i="2"/>
  <c r="F59" i="2" s="1"/>
  <c r="E55" i="2"/>
  <c r="F55" i="2" s="1"/>
  <c r="E51" i="2"/>
  <c r="F51" i="2" s="1"/>
  <c r="E82" i="2"/>
  <c r="F82" i="2" s="1"/>
  <c r="E68" i="2"/>
  <c r="F68" i="2" s="1"/>
  <c r="E62" i="2"/>
  <c r="F62" i="2" s="1"/>
  <c r="E58" i="2"/>
  <c r="F58" i="2" s="1"/>
  <c r="E54" i="2"/>
  <c r="F54" i="2" s="1"/>
  <c r="E47" i="2"/>
  <c r="F47" i="2" s="1"/>
  <c r="E38" i="2"/>
  <c r="F38" i="2" s="1"/>
  <c r="E34" i="2"/>
  <c r="F34" i="2" s="1"/>
  <c r="E30" i="2"/>
  <c r="F30" i="2" s="1"/>
  <c r="E50" i="2"/>
  <c r="F50" i="2" s="1"/>
  <c r="E41" i="2"/>
  <c r="F41" i="2" s="1"/>
  <c r="E37" i="2"/>
  <c r="F37" i="2" s="1"/>
  <c r="E17" i="2"/>
  <c r="F17" i="2" s="1"/>
  <c r="E9" i="2"/>
  <c r="F9" i="2" s="1"/>
  <c r="E5" i="2"/>
  <c r="E32" i="2"/>
  <c r="F32" i="2" s="1"/>
  <c r="E20" i="2"/>
  <c r="F20" i="2" s="1"/>
  <c r="E16" i="2"/>
  <c r="F16" i="2" s="1"/>
  <c r="E49" i="2"/>
  <c r="F49" i="2" s="1"/>
  <c r="E33" i="2"/>
  <c r="F33" i="2" s="1"/>
  <c r="E29" i="2"/>
  <c r="F29" i="2" s="1"/>
  <c r="E43" i="2"/>
  <c r="F43" i="2" s="1"/>
  <c r="E42" i="2"/>
  <c r="F42" i="2" s="1"/>
  <c r="E26" i="2"/>
  <c r="F26" i="2" s="1"/>
  <c r="E24" i="2"/>
  <c r="F24" i="2" s="1"/>
  <c r="E12" i="2"/>
  <c r="F12" i="2" s="1"/>
  <c r="E8" i="2"/>
  <c r="F8" i="2" s="1"/>
  <c r="E36" i="2"/>
  <c r="F36" i="2" s="1"/>
  <c r="Z85" i="2"/>
  <c r="AA52" i="2" s="1"/>
  <c r="AB52" i="2" s="1"/>
  <c r="E69" i="2"/>
  <c r="F69" i="2" s="1"/>
  <c r="E35" i="2"/>
  <c r="F35" i="2" s="1"/>
  <c r="E14" i="2"/>
  <c r="F14" i="2" s="1"/>
  <c r="E6" i="2"/>
  <c r="F6" i="2" s="1"/>
  <c r="E39" i="2"/>
  <c r="F39" i="2" s="1"/>
  <c r="AA81" i="2"/>
  <c r="AB81" i="2" s="1"/>
  <c r="O77" i="2"/>
  <c r="P77" i="2" s="1"/>
  <c r="E63" i="2"/>
  <c r="F63" i="2" s="1"/>
  <c r="O70" i="2"/>
  <c r="P70" i="2" s="1"/>
  <c r="O61" i="2"/>
  <c r="P61" i="2" s="1"/>
  <c r="E57" i="2"/>
  <c r="F57" i="2" s="1"/>
  <c r="E52" i="2"/>
  <c r="F52" i="2" s="1"/>
  <c r="E31" i="2"/>
  <c r="F31" i="2" s="1"/>
  <c r="E21" i="2"/>
  <c r="F21" i="2" s="1"/>
  <c r="E23" i="2"/>
  <c r="F23" i="2" s="1"/>
  <c r="E56" i="2"/>
  <c r="F56" i="2" s="1"/>
  <c r="AA40" i="2"/>
  <c r="AB40" i="2" s="1"/>
  <c r="S85" i="2"/>
  <c r="T5" i="2"/>
  <c r="E15" i="2"/>
  <c r="F15" i="2" s="1"/>
  <c r="O73" i="2"/>
  <c r="P73" i="2" s="1"/>
  <c r="O45" i="2"/>
  <c r="P45" i="2" s="1"/>
  <c r="AA46" i="2"/>
  <c r="AB46" i="2" s="1"/>
  <c r="E22" i="2"/>
  <c r="F22" i="2" s="1"/>
  <c r="E7" i="2"/>
  <c r="F7" i="2" s="1"/>
  <c r="E79" i="2"/>
  <c r="F79" i="2" s="1"/>
  <c r="I85" i="2"/>
  <c r="E45" i="2"/>
  <c r="F45" i="2" s="1"/>
  <c r="E48" i="2"/>
  <c r="F48" i="2" s="1"/>
  <c r="E84" i="2"/>
  <c r="F84" i="2" s="1"/>
  <c r="E80" i="2"/>
  <c r="F80" i="2" s="1"/>
  <c r="E73" i="2"/>
  <c r="F73" i="2" s="1"/>
  <c r="E77" i="2"/>
  <c r="F77" i="2" s="1"/>
  <c r="E67" i="2"/>
  <c r="F67" i="2" s="1"/>
  <c r="E44" i="2"/>
  <c r="F44" i="2" s="1"/>
  <c r="E60" i="2"/>
  <c r="F60" i="2" s="1"/>
  <c r="O28" i="2"/>
  <c r="P28" i="2" s="1"/>
  <c r="E13" i="2"/>
  <c r="F13" i="2" s="1"/>
  <c r="E61" i="2"/>
  <c r="F61" i="2" s="1"/>
  <c r="E46" i="2"/>
  <c r="F46" i="2" s="1"/>
  <c r="E18" i="2"/>
  <c r="F18" i="2" s="1"/>
  <c r="E10" i="2"/>
  <c r="F10" i="2" s="1"/>
  <c r="E40" i="2"/>
  <c r="F40" i="2" s="1"/>
  <c r="E53" i="2"/>
  <c r="F53" i="2" s="1"/>
  <c r="E25" i="2"/>
  <c r="F25" i="2" s="1"/>
  <c r="W96" i="1"/>
  <c r="T96" i="1"/>
  <c r="T82" i="1"/>
  <c r="W82" i="1"/>
  <c r="T70" i="1"/>
  <c r="W70" i="1"/>
  <c r="W42" i="1"/>
  <c r="T42" i="1"/>
  <c r="W41" i="1"/>
  <c r="T41" i="1"/>
  <c r="T97" i="1"/>
  <c r="W97" i="1"/>
  <c r="T81" i="1"/>
  <c r="W81" i="1"/>
  <c r="T77" i="1"/>
  <c r="W77" i="1"/>
  <c r="T73" i="1"/>
  <c r="W73" i="1"/>
  <c r="T69" i="1"/>
  <c r="W69" i="1"/>
  <c r="T65" i="1"/>
  <c r="W65" i="1"/>
  <c r="T61" i="1"/>
  <c r="W61" i="1"/>
  <c r="T57" i="1"/>
  <c r="W57" i="1"/>
  <c r="W50" i="1"/>
  <c r="T50" i="1"/>
  <c r="W38" i="1"/>
  <c r="T38" i="1"/>
  <c r="W7" i="1"/>
  <c r="T7" i="1"/>
  <c r="T9" i="1"/>
  <c r="W9" i="1"/>
  <c r="Z81" i="1"/>
  <c r="AA81" i="1" s="1"/>
  <c r="Z79" i="1"/>
  <c r="AA79" i="1" s="1"/>
  <c r="Z77" i="1"/>
  <c r="AA77" i="1" s="1"/>
  <c r="Z75" i="1"/>
  <c r="AA75" i="1" s="1"/>
  <c r="Z73" i="1"/>
  <c r="AA73" i="1" s="1"/>
  <c r="Z71" i="1"/>
  <c r="AA71" i="1" s="1"/>
  <c r="Z69" i="1"/>
  <c r="AA69" i="1" s="1"/>
  <c r="Z67" i="1"/>
  <c r="AA67" i="1" s="1"/>
  <c r="Z65" i="1"/>
  <c r="AA65" i="1" s="1"/>
  <c r="Z63" i="1"/>
  <c r="AA63" i="1" s="1"/>
  <c r="Z61" i="1"/>
  <c r="AA61" i="1" s="1"/>
  <c r="Z59" i="1"/>
  <c r="AA59" i="1" s="1"/>
  <c r="Z57" i="1"/>
  <c r="AA57" i="1" s="1"/>
  <c r="Z82" i="1"/>
  <c r="AA82" i="1" s="1"/>
  <c r="Z80" i="1"/>
  <c r="AA80" i="1" s="1"/>
  <c r="Z78" i="1"/>
  <c r="AA78" i="1" s="1"/>
  <c r="Z76" i="1"/>
  <c r="AA76" i="1" s="1"/>
  <c r="Z74" i="1"/>
  <c r="AA74" i="1" s="1"/>
  <c r="Z72" i="1"/>
  <c r="AA72" i="1" s="1"/>
  <c r="Z70" i="1"/>
  <c r="AA70" i="1" s="1"/>
  <c r="Z68" i="1"/>
  <c r="AA68" i="1" s="1"/>
  <c r="Z66" i="1"/>
  <c r="AA66" i="1" s="1"/>
  <c r="Z64" i="1"/>
  <c r="AA64" i="1" s="1"/>
  <c r="Z62" i="1"/>
  <c r="AA62" i="1" s="1"/>
  <c r="Z60" i="1"/>
  <c r="AA60" i="1" s="1"/>
  <c r="Z58" i="1"/>
  <c r="AA58" i="1" s="1"/>
  <c r="Z50" i="1"/>
  <c r="AA50" i="1" s="1"/>
  <c r="Z48" i="1"/>
  <c r="AA48" i="1" s="1"/>
  <c r="Z46" i="1"/>
  <c r="AA46" i="1" s="1"/>
  <c r="Z42" i="1"/>
  <c r="AA42" i="1" s="1"/>
  <c r="Z38" i="1"/>
  <c r="AA38" i="1" s="1"/>
  <c r="Z56" i="1"/>
  <c r="AA56" i="1" s="1"/>
  <c r="Z54" i="1"/>
  <c r="AA54" i="1" s="1"/>
  <c r="Z52" i="1"/>
  <c r="AA52" i="1" s="1"/>
  <c r="Z39" i="1"/>
  <c r="AA39" i="1" s="1"/>
  <c r="Z49" i="1"/>
  <c r="AA49" i="1" s="1"/>
  <c r="Z47" i="1"/>
  <c r="AA47" i="1" s="1"/>
  <c r="Z43" i="1"/>
  <c r="AA43" i="1" s="1"/>
  <c r="T98" i="1"/>
  <c r="W98" i="1"/>
  <c r="T74" i="1"/>
  <c r="W74" i="1"/>
  <c r="T62" i="1"/>
  <c r="W62" i="1"/>
  <c r="W55" i="1"/>
  <c r="T55" i="1"/>
  <c r="T11" i="1"/>
  <c r="U11" i="1" s="1"/>
  <c r="V11" i="1" s="1"/>
  <c r="AC11" i="1" s="1"/>
  <c r="AE11" i="1" s="1"/>
  <c r="W11" i="1"/>
  <c r="AA5" i="1"/>
  <c r="W56" i="1"/>
  <c r="T56" i="1"/>
  <c r="T80" i="1"/>
  <c r="W80" i="1"/>
  <c r="T76" i="1"/>
  <c r="W76" i="1"/>
  <c r="T72" i="1"/>
  <c r="W72" i="1"/>
  <c r="T68" i="1"/>
  <c r="W68" i="1"/>
  <c r="T64" i="1"/>
  <c r="W64" i="1"/>
  <c r="T60" i="1"/>
  <c r="W60" i="1"/>
  <c r="W47" i="1"/>
  <c r="T47" i="1"/>
  <c r="W51" i="1"/>
  <c r="T51" i="1"/>
  <c r="U39" i="1"/>
  <c r="V39" i="1" s="1"/>
  <c r="W54" i="1"/>
  <c r="T54" i="1"/>
  <c r="W44" i="1"/>
  <c r="T44" i="1"/>
  <c r="J5" i="1"/>
  <c r="O5" i="1"/>
  <c r="S110" i="1"/>
  <c r="S106" i="1"/>
  <c r="S102" i="1"/>
  <c r="S109" i="1"/>
  <c r="S105" i="1"/>
  <c r="S101" i="1"/>
  <c r="S107" i="1"/>
  <c r="S103" i="1"/>
  <c r="S95" i="1"/>
  <c r="S94" i="1"/>
  <c r="S93" i="1"/>
  <c r="S92" i="1"/>
  <c r="S91" i="1"/>
  <c r="S90" i="1"/>
  <c r="S89" i="1"/>
  <c r="S88" i="1"/>
  <c r="S87" i="1"/>
  <c r="S86" i="1"/>
  <c r="S85" i="1"/>
  <c r="S84" i="1"/>
  <c r="S108" i="1"/>
  <c r="S100" i="1"/>
  <c r="S104" i="1"/>
  <c r="S83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8" i="1"/>
  <c r="S5" i="1"/>
  <c r="S14" i="1"/>
  <c r="S6" i="1"/>
  <c r="S12" i="1"/>
  <c r="S10" i="1"/>
  <c r="S13" i="1"/>
  <c r="W48" i="1"/>
  <c r="T48" i="1"/>
  <c r="T78" i="1"/>
  <c r="W78" i="1"/>
  <c r="T66" i="1"/>
  <c r="W66" i="1"/>
  <c r="T58" i="1"/>
  <c r="W58" i="1"/>
  <c r="W39" i="1"/>
  <c r="T39" i="1"/>
  <c r="U99" i="1"/>
  <c r="V99" i="1" s="1"/>
  <c r="AC99" i="1" s="1"/>
  <c r="AE99" i="1" s="1"/>
  <c r="U98" i="1"/>
  <c r="V98" i="1" s="1"/>
  <c r="AC98" i="1" s="1"/>
  <c r="AE98" i="1" s="1"/>
  <c r="T99" i="1"/>
  <c r="W99" i="1"/>
  <c r="T79" i="1"/>
  <c r="W79" i="1"/>
  <c r="T75" i="1"/>
  <c r="W75" i="1"/>
  <c r="T71" i="1"/>
  <c r="W71" i="1"/>
  <c r="T67" i="1"/>
  <c r="W67" i="1"/>
  <c r="T63" i="1"/>
  <c r="W63" i="1"/>
  <c r="T59" i="1"/>
  <c r="W59" i="1"/>
  <c r="W52" i="1"/>
  <c r="T52" i="1"/>
  <c r="W43" i="1"/>
  <c r="T43" i="1"/>
  <c r="W46" i="1"/>
  <c r="T46" i="1"/>
  <c r="W53" i="1"/>
  <c r="T53" i="1"/>
  <c r="W45" i="1"/>
  <c r="T45" i="1"/>
  <c r="W49" i="1"/>
  <c r="T49" i="1"/>
  <c r="W40" i="1"/>
  <c r="T40" i="1"/>
  <c r="I83" i="1"/>
  <c r="J83" i="1" s="1"/>
  <c r="I81" i="1"/>
  <c r="J81" i="1" s="1"/>
  <c r="U81" i="1" s="1"/>
  <c r="V81" i="1" s="1"/>
  <c r="AC81" i="1" s="1"/>
  <c r="AE81" i="1" s="1"/>
  <c r="I79" i="1"/>
  <c r="J79" i="1" s="1"/>
  <c r="I77" i="1"/>
  <c r="J77" i="1" s="1"/>
  <c r="I75" i="1"/>
  <c r="J75" i="1" s="1"/>
  <c r="I73" i="1"/>
  <c r="J73" i="1" s="1"/>
  <c r="U73" i="1" s="1"/>
  <c r="V73" i="1" s="1"/>
  <c r="AC73" i="1" s="1"/>
  <c r="AE73" i="1" s="1"/>
  <c r="I71" i="1"/>
  <c r="J71" i="1" s="1"/>
  <c r="I69" i="1"/>
  <c r="J69" i="1" s="1"/>
  <c r="I67" i="1"/>
  <c r="J67" i="1" s="1"/>
  <c r="I65" i="1"/>
  <c r="J65" i="1" s="1"/>
  <c r="U65" i="1" s="1"/>
  <c r="V65" i="1" s="1"/>
  <c r="AC65" i="1" s="1"/>
  <c r="AE65" i="1" s="1"/>
  <c r="I63" i="1"/>
  <c r="J63" i="1" s="1"/>
  <c r="I61" i="1"/>
  <c r="J61" i="1" s="1"/>
  <c r="I59" i="1"/>
  <c r="J59" i="1" s="1"/>
  <c r="I57" i="1"/>
  <c r="J57" i="1" s="1"/>
  <c r="U57" i="1" s="1"/>
  <c r="V57" i="1" s="1"/>
  <c r="AC57" i="1" s="1"/>
  <c r="AE57" i="1" s="1"/>
  <c r="I82" i="1"/>
  <c r="J82" i="1" s="1"/>
  <c r="I80" i="1"/>
  <c r="J80" i="1" s="1"/>
  <c r="U80" i="1" s="1"/>
  <c r="V80" i="1" s="1"/>
  <c r="I78" i="1"/>
  <c r="J78" i="1" s="1"/>
  <c r="I76" i="1"/>
  <c r="J76" i="1" s="1"/>
  <c r="U76" i="1" s="1"/>
  <c r="V76" i="1" s="1"/>
  <c r="AC76" i="1" s="1"/>
  <c r="AE76" i="1" s="1"/>
  <c r="I74" i="1"/>
  <c r="J74" i="1" s="1"/>
  <c r="I72" i="1"/>
  <c r="J72" i="1" s="1"/>
  <c r="U72" i="1" s="1"/>
  <c r="V72" i="1" s="1"/>
  <c r="I70" i="1"/>
  <c r="J70" i="1" s="1"/>
  <c r="I68" i="1"/>
  <c r="J68" i="1" s="1"/>
  <c r="U68" i="1" s="1"/>
  <c r="V68" i="1" s="1"/>
  <c r="AC68" i="1" s="1"/>
  <c r="AE68" i="1" s="1"/>
  <c r="I66" i="1"/>
  <c r="J66" i="1" s="1"/>
  <c r="I64" i="1"/>
  <c r="J64" i="1" s="1"/>
  <c r="U64" i="1" s="1"/>
  <c r="V64" i="1" s="1"/>
  <c r="I62" i="1"/>
  <c r="J62" i="1" s="1"/>
  <c r="I60" i="1"/>
  <c r="J60" i="1" s="1"/>
  <c r="U60" i="1" s="1"/>
  <c r="V60" i="1" s="1"/>
  <c r="AC60" i="1" s="1"/>
  <c r="AE60" i="1" s="1"/>
  <c r="I58" i="1"/>
  <c r="J58" i="1" s="1"/>
  <c r="I52" i="1"/>
  <c r="J52" i="1" s="1"/>
  <c r="I50" i="1"/>
  <c r="J50" i="1" s="1"/>
  <c r="I44" i="1"/>
  <c r="J44" i="1" s="1"/>
  <c r="U44" i="1" s="1"/>
  <c r="V44" i="1" s="1"/>
  <c r="AC44" i="1" s="1"/>
  <c r="AE44" i="1" s="1"/>
  <c r="I40" i="1"/>
  <c r="J40" i="1" s="1"/>
  <c r="I41" i="1"/>
  <c r="J41" i="1" s="1"/>
  <c r="U41" i="1" s="1"/>
  <c r="V41" i="1" s="1"/>
  <c r="AC41" i="1" s="1"/>
  <c r="AE41" i="1" s="1"/>
  <c r="I54" i="1"/>
  <c r="J54" i="1" s="1"/>
  <c r="I45" i="1"/>
  <c r="J45" i="1" s="1"/>
  <c r="I56" i="1"/>
  <c r="J56" i="1" s="1"/>
  <c r="I9" i="1"/>
  <c r="J9" i="1" s="1"/>
  <c r="N96" i="1"/>
  <c r="O96" i="1" s="1"/>
  <c r="U96" i="1" s="1"/>
  <c r="V96" i="1" s="1"/>
  <c r="AC96" i="1" s="1"/>
  <c r="AE96" i="1" s="1"/>
  <c r="N84" i="1"/>
  <c r="O84" i="1" s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97" i="1"/>
  <c r="O97" i="1" s="1"/>
  <c r="U97" i="1" s="1"/>
  <c r="V97" i="1" s="1"/>
  <c r="AC97" i="1" s="1"/>
  <c r="AE97" i="1" s="1"/>
  <c r="N94" i="1"/>
  <c r="O94" i="1" s="1"/>
  <c r="N90" i="1"/>
  <c r="O90" i="1" s="1"/>
  <c r="N86" i="1"/>
  <c r="O86" i="1" s="1"/>
  <c r="N54" i="1"/>
  <c r="O54" i="1" s="1"/>
  <c r="N50" i="1"/>
  <c r="O50" i="1" s="1"/>
  <c r="N92" i="1"/>
  <c r="O92" i="1" s="1"/>
  <c r="N88" i="1"/>
  <c r="O88" i="1" s="1"/>
  <c r="N49" i="1"/>
  <c r="O49" i="1" s="1"/>
  <c r="U49" i="1" s="1"/>
  <c r="V49" i="1" s="1"/>
  <c r="AC49" i="1" s="1"/>
  <c r="AE49" i="1" s="1"/>
  <c r="N45" i="1"/>
  <c r="O45" i="1" s="1"/>
  <c r="N41" i="1"/>
  <c r="O41" i="1" s="1"/>
  <c r="N56" i="1"/>
  <c r="O56" i="1" s="1"/>
  <c r="N44" i="1"/>
  <c r="O44" i="1" s="1"/>
  <c r="N40" i="1"/>
  <c r="O40" i="1" s="1"/>
  <c r="N95" i="1"/>
  <c r="O95" i="1" s="1"/>
  <c r="N93" i="1"/>
  <c r="O93" i="1" s="1"/>
  <c r="N91" i="1"/>
  <c r="O91" i="1" s="1"/>
  <c r="N89" i="1"/>
  <c r="O89" i="1" s="1"/>
  <c r="N87" i="1"/>
  <c r="O87" i="1" s="1"/>
  <c r="N85" i="1"/>
  <c r="O85" i="1" s="1"/>
  <c r="N55" i="1"/>
  <c r="O55" i="1" s="1"/>
  <c r="U55" i="1" s="1"/>
  <c r="V55" i="1" s="1"/>
  <c r="AC55" i="1" s="1"/>
  <c r="AE55" i="1" s="1"/>
  <c r="N47" i="1"/>
  <c r="O47" i="1" s="1"/>
  <c r="U47" i="1" s="1"/>
  <c r="V47" i="1" s="1"/>
  <c r="AC47" i="1" s="1"/>
  <c r="AE47" i="1" s="1"/>
  <c r="N52" i="1"/>
  <c r="O52" i="1" s="1"/>
  <c r="N43" i="1"/>
  <c r="O43" i="1" s="1"/>
  <c r="U43" i="1" s="1"/>
  <c r="V43" i="1" s="1"/>
  <c r="AC43" i="1" s="1"/>
  <c r="AE43" i="1" s="1"/>
  <c r="N53" i="1"/>
  <c r="O53" i="1" s="1"/>
  <c r="U53" i="1" s="1"/>
  <c r="V53" i="1" s="1"/>
  <c r="AC53" i="1" s="1"/>
  <c r="AE53" i="1" s="1"/>
  <c r="N51" i="1"/>
  <c r="O51" i="1" s="1"/>
  <c r="U51" i="1" s="1"/>
  <c r="V51" i="1" s="1"/>
  <c r="AC51" i="1" s="1"/>
  <c r="AE51" i="1" s="1"/>
  <c r="N38" i="1"/>
  <c r="O38" i="1" s="1"/>
  <c r="U38" i="1" s="1"/>
  <c r="V38" i="1" s="1"/>
  <c r="AC38" i="1" s="1"/>
  <c r="AE38" i="1" s="1"/>
  <c r="N46" i="1"/>
  <c r="O46" i="1" s="1"/>
  <c r="U46" i="1" s="1"/>
  <c r="V46" i="1" s="1"/>
  <c r="AC46" i="1" s="1"/>
  <c r="AE46" i="1" s="1"/>
  <c r="N48" i="1"/>
  <c r="O48" i="1" s="1"/>
  <c r="U48" i="1" s="1"/>
  <c r="V48" i="1" s="1"/>
  <c r="AC48" i="1" s="1"/>
  <c r="AE48" i="1" s="1"/>
  <c r="N12" i="1"/>
  <c r="O12" i="1" s="1"/>
  <c r="N10" i="1"/>
  <c r="O10" i="1" s="1"/>
  <c r="N6" i="1"/>
  <c r="O6" i="1" s="1"/>
  <c r="N39" i="1"/>
  <c r="O39" i="1" s="1"/>
  <c r="N14" i="1"/>
  <c r="O14" i="1" s="1"/>
  <c r="N7" i="1"/>
  <c r="O7" i="1" s="1"/>
  <c r="U7" i="1" s="1"/>
  <c r="V7" i="1" s="1"/>
  <c r="AC7" i="1" s="1"/>
  <c r="AE7" i="1" s="1"/>
  <c r="N8" i="1"/>
  <c r="O8" i="1" s="1"/>
  <c r="N42" i="1"/>
  <c r="O42" i="1" s="1"/>
  <c r="U42" i="1" s="1"/>
  <c r="V42" i="1" s="1"/>
  <c r="AC42" i="1" s="1"/>
  <c r="AE42" i="1" s="1"/>
  <c r="N26" i="1"/>
  <c r="O26" i="1" s="1"/>
  <c r="Z15" i="1"/>
  <c r="AA15" i="1" s="1"/>
  <c r="I8" i="1"/>
  <c r="J8" i="1" s="1"/>
  <c r="E112" i="1"/>
  <c r="E118" i="1" s="1"/>
  <c r="N37" i="1"/>
  <c r="O37" i="1" s="1"/>
  <c r="Q56" i="4" l="1"/>
  <c r="BK56" i="4" s="1"/>
  <c r="BO5" i="4"/>
  <c r="S56" i="4"/>
  <c r="BL56" i="4" s="1"/>
  <c r="BM5" i="4"/>
  <c r="I56" i="4"/>
  <c r="BG56" i="4" s="1"/>
  <c r="BG5" i="4" s="1"/>
  <c r="BP112" i="4"/>
  <c r="AE112" i="4"/>
  <c r="BP97" i="4"/>
  <c r="AE97" i="4"/>
  <c r="AE26" i="4"/>
  <c r="BP26" i="4"/>
  <c r="BP74" i="4"/>
  <c r="AE74" i="4"/>
  <c r="BP107" i="4"/>
  <c r="AE107" i="4"/>
  <c r="BP88" i="4"/>
  <c r="AE88" i="4"/>
  <c r="BP100" i="4"/>
  <c r="AE100" i="4"/>
  <c r="BP69" i="4"/>
  <c r="AE69" i="4"/>
  <c r="BP31" i="4"/>
  <c r="AE31" i="4"/>
  <c r="BP12" i="4"/>
  <c r="AE12" i="4"/>
  <c r="BP66" i="4"/>
  <c r="AE66" i="4"/>
  <c r="BP48" i="4"/>
  <c r="AE48" i="4"/>
  <c r="BP38" i="4"/>
  <c r="AE38" i="4"/>
  <c r="BP55" i="4"/>
  <c r="AE55" i="4"/>
  <c r="BP77" i="4"/>
  <c r="AE77" i="4"/>
  <c r="AE10" i="4"/>
  <c r="BP10" i="4"/>
  <c r="AE11" i="4"/>
  <c r="BP11" i="4"/>
  <c r="BP8" i="4"/>
  <c r="AE8" i="4"/>
  <c r="BP84" i="4"/>
  <c r="AE84" i="4"/>
  <c r="AE89" i="4"/>
  <c r="BP89" i="4"/>
  <c r="BP63" i="4"/>
  <c r="AE63" i="4"/>
  <c r="AE95" i="4"/>
  <c r="BP95" i="4"/>
  <c r="BP61" i="4"/>
  <c r="AE61" i="4"/>
  <c r="BP50" i="4"/>
  <c r="AE50" i="4"/>
  <c r="BP98" i="4"/>
  <c r="AE98" i="4"/>
  <c r="K56" i="4"/>
  <c r="BH56" i="4" s="1"/>
  <c r="BH5" i="4" s="1"/>
  <c r="AE87" i="4"/>
  <c r="BP87" i="4"/>
  <c r="BP25" i="4"/>
  <c r="AE25" i="4"/>
  <c r="BP58" i="4"/>
  <c r="AE58" i="4"/>
  <c r="BP90" i="4"/>
  <c r="AE90" i="4"/>
  <c r="AE106" i="4"/>
  <c r="BP106" i="4"/>
  <c r="BP59" i="4"/>
  <c r="AE59" i="4"/>
  <c r="BP35" i="4"/>
  <c r="AE35" i="4"/>
  <c r="BP99" i="4"/>
  <c r="AE99" i="4"/>
  <c r="BP103" i="4"/>
  <c r="AE103" i="4"/>
  <c r="AE20" i="4"/>
  <c r="BP20" i="4"/>
  <c r="BP30" i="4"/>
  <c r="AE30" i="4"/>
  <c r="BP78" i="4"/>
  <c r="AE78" i="4"/>
  <c r="BK5" i="4"/>
  <c r="BP47" i="4"/>
  <c r="AE47" i="4"/>
  <c r="AE79" i="4"/>
  <c r="BP79" i="4"/>
  <c r="BP33" i="4"/>
  <c r="AE33" i="4"/>
  <c r="AE44" i="4"/>
  <c r="BP44" i="4"/>
  <c r="AE92" i="4"/>
  <c r="BP92" i="4"/>
  <c r="BP29" i="4"/>
  <c r="AE29" i="4"/>
  <c r="AE81" i="4"/>
  <c r="BP81" i="4"/>
  <c r="AE34" i="4"/>
  <c r="BP34" i="4"/>
  <c r="BP65" i="4"/>
  <c r="AE65" i="4"/>
  <c r="BP16" i="4"/>
  <c r="AE16" i="4"/>
  <c r="BP23" i="4"/>
  <c r="AE23" i="4"/>
  <c r="BP49" i="4"/>
  <c r="AE49" i="4"/>
  <c r="BP24" i="4"/>
  <c r="AE24" i="4"/>
  <c r="BP85" i="4"/>
  <c r="AE85" i="4"/>
  <c r="AE102" i="4"/>
  <c r="BP102" i="4"/>
  <c r="AE52" i="4"/>
  <c r="BP52" i="4"/>
  <c r="BP45" i="4"/>
  <c r="AE45" i="4"/>
  <c r="AE62" i="4"/>
  <c r="BP62" i="4"/>
  <c r="AE110" i="4"/>
  <c r="BP110" i="4"/>
  <c r="BP15" i="4"/>
  <c r="AE15" i="4"/>
  <c r="BP111" i="4"/>
  <c r="AE111" i="4"/>
  <c r="BP41" i="4"/>
  <c r="AE41" i="4"/>
  <c r="BF5" i="4"/>
  <c r="AE109" i="4"/>
  <c r="BP109" i="4"/>
  <c r="BP21" i="4"/>
  <c r="AE21" i="4"/>
  <c r="AE91" i="4"/>
  <c r="BP91" i="4"/>
  <c r="AE101" i="4"/>
  <c r="BP101" i="4"/>
  <c r="BP72" i="4"/>
  <c r="AE72" i="4"/>
  <c r="BP70" i="4"/>
  <c r="AE70" i="4"/>
  <c r="BP71" i="4"/>
  <c r="AE71" i="4"/>
  <c r="AE36" i="4"/>
  <c r="BP36" i="4"/>
  <c r="BP46" i="4"/>
  <c r="AE46" i="4"/>
  <c r="BP94" i="4"/>
  <c r="AE94" i="4"/>
  <c r="AE60" i="4"/>
  <c r="BP60" i="4"/>
  <c r="BP108" i="4"/>
  <c r="AE108" i="4"/>
  <c r="BP82" i="4"/>
  <c r="AE82" i="4"/>
  <c r="BP32" i="4"/>
  <c r="AE32" i="4"/>
  <c r="BP80" i="4"/>
  <c r="AE80" i="4"/>
  <c r="BP37" i="4"/>
  <c r="AE37" i="4"/>
  <c r="BP86" i="4"/>
  <c r="AE86" i="4"/>
  <c r="BP43" i="4"/>
  <c r="AE43" i="4"/>
  <c r="BP75" i="4"/>
  <c r="AE75" i="4"/>
  <c r="BP67" i="4"/>
  <c r="AE67" i="4"/>
  <c r="BP53" i="4"/>
  <c r="AE53" i="4"/>
  <c r="AE42" i="4"/>
  <c r="BP42" i="4"/>
  <c r="BP27" i="4"/>
  <c r="AE27" i="4"/>
  <c r="AE73" i="4"/>
  <c r="BP73" i="4"/>
  <c r="BP40" i="4"/>
  <c r="AE40" i="4"/>
  <c r="BP104" i="4"/>
  <c r="AE104" i="4"/>
  <c r="Z56" i="4"/>
  <c r="BE56" i="4"/>
  <c r="BP96" i="4"/>
  <c r="AE96" i="4"/>
  <c r="BP22" i="4"/>
  <c r="AE22" i="4"/>
  <c r="BP39" i="4"/>
  <c r="AE39" i="4"/>
  <c r="BP17" i="4"/>
  <c r="AE17" i="4"/>
  <c r="BP68" i="4"/>
  <c r="AE68" i="4"/>
  <c r="BP9" i="4"/>
  <c r="AE9" i="4"/>
  <c r="BP14" i="4"/>
  <c r="AE14" i="4"/>
  <c r="BL5" i="4"/>
  <c r="AE93" i="4"/>
  <c r="BP93" i="4"/>
  <c r="AE28" i="4"/>
  <c r="BP28" i="4"/>
  <c r="BP76" i="4"/>
  <c r="AE76" i="4"/>
  <c r="BP13" i="4"/>
  <c r="AE13" i="4"/>
  <c r="AE18" i="4"/>
  <c r="BP18" i="4"/>
  <c r="BP19" i="4"/>
  <c r="AE19" i="4"/>
  <c r="BP51" i="4"/>
  <c r="AE51" i="4"/>
  <c r="BP83" i="4"/>
  <c r="AE83" i="4"/>
  <c r="BP64" i="4"/>
  <c r="AE64" i="4"/>
  <c r="AE54" i="4"/>
  <c r="BP54" i="4"/>
  <c r="BE7" i="4"/>
  <c r="BE5" i="4" s="1"/>
  <c r="Z7" i="4"/>
  <c r="AB7" i="4"/>
  <c r="J10" i="3"/>
  <c r="L10" i="3" s="1"/>
  <c r="J51" i="3"/>
  <c r="L51" i="3" s="1"/>
  <c r="J31" i="3"/>
  <c r="L31" i="3" s="1"/>
  <c r="H51" i="3"/>
  <c r="I51" i="3" s="1"/>
  <c r="J96" i="3"/>
  <c r="L96" i="3" s="1"/>
  <c r="H72" i="3"/>
  <c r="I72" i="3" s="1"/>
  <c r="J72" i="3" s="1"/>
  <c r="L72" i="3" s="1"/>
  <c r="H5" i="3"/>
  <c r="H96" i="3"/>
  <c r="I96" i="3" s="1"/>
  <c r="J62" i="3"/>
  <c r="L62" i="3" s="1"/>
  <c r="J13" i="3"/>
  <c r="L13" i="3" s="1"/>
  <c r="J12" i="3"/>
  <c r="L12" i="3" s="1"/>
  <c r="J44" i="3"/>
  <c r="L44" i="3" s="1"/>
  <c r="H39" i="3"/>
  <c r="I39" i="3" s="1"/>
  <c r="J39" i="3" s="1"/>
  <c r="L39" i="3" s="1"/>
  <c r="H105" i="3"/>
  <c r="I105" i="3" s="1"/>
  <c r="H31" i="3"/>
  <c r="I31" i="3" s="1"/>
  <c r="J54" i="3"/>
  <c r="L54" i="3" s="1"/>
  <c r="J40" i="3"/>
  <c r="L40" i="3" s="1"/>
  <c r="J71" i="3"/>
  <c r="L71" i="3" s="1"/>
  <c r="J105" i="3"/>
  <c r="L105" i="3" s="1"/>
  <c r="J63" i="3"/>
  <c r="L63" i="3" s="1"/>
  <c r="J75" i="3"/>
  <c r="L75" i="3" s="1"/>
  <c r="H106" i="3"/>
  <c r="I106" i="3" s="1"/>
  <c r="H90" i="3"/>
  <c r="I90" i="3" s="1"/>
  <c r="J90" i="3" s="1"/>
  <c r="L90" i="3" s="1"/>
  <c r="H78" i="3"/>
  <c r="I78" i="3" s="1"/>
  <c r="H98" i="3"/>
  <c r="I98" i="3" s="1"/>
  <c r="H82" i="3"/>
  <c r="I82" i="3" s="1"/>
  <c r="J82" i="3" s="1"/>
  <c r="L82" i="3" s="1"/>
  <c r="H66" i="3"/>
  <c r="I66" i="3" s="1"/>
  <c r="J66" i="3" s="1"/>
  <c r="L66" i="3" s="1"/>
  <c r="H41" i="3"/>
  <c r="I41" i="3" s="1"/>
  <c r="J41" i="3" s="1"/>
  <c r="L41" i="3" s="1"/>
  <c r="H53" i="3"/>
  <c r="I53" i="3" s="1"/>
  <c r="J53" i="3" s="1"/>
  <c r="L53" i="3" s="1"/>
  <c r="H37" i="3"/>
  <c r="I37" i="3" s="1"/>
  <c r="H57" i="3"/>
  <c r="I57" i="3" s="1"/>
  <c r="J57" i="3" s="1"/>
  <c r="L57" i="3" s="1"/>
  <c r="H17" i="3"/>
  <c r="I17" i="3" s="1"/>
  <c r="J17" i="3" s="1"/>
  <c r="L17" i="3" s="1"/>
  <c r="H13" i="3"/>
  <c r="I13" i="3" s="1"/>
  <c r="H49" i="3"/>
  <c r="I49" i="3" s="1"/>
  <c r="J49" i="3" s="1"/>
  <c r="L49" i="3" s="1"/>
  <c r="H21" i="3"/>
  <c r="I21" i="3" s="1"/>
  <c r="H29" i="3"/>
  <c r="I29" i="3" s="1"/>
  <c r="H16" i="3"/>
  <c r="I16" i="3" s="1"/>
  <c r="H61" i="3"/>
  <c r="I61" i="3" s="1"/>
  <c r="H28" i="3"/>
  <c r="I28" i="3" s="1"/>
  <c r="J28" i="3" s="1"/>
  <c r="L28" i="3" s="1"/>
  <c r="H38" i="3"/>
  <c r="I38" i="3" s="1"/>
  <c r="H56" i="3"/>
  <c r="I56" i="3" s="1"/>
  <c r="J56" i="3" s="1"/>
  <c r="L56" i="3" s="1"/>
  <c r="H60" i="3"/>
  <c r="I60" i="3" s="1"/>
  <c r="J60" i="3" s="1"/>
  <c r="L60" i="3" s="1"/>
  <c r="H110" i="3"/>
  <c r="I110" i="3" s="1"/>
  <c r="J110" i="3" s="1"/>
  <c r="L110" i="3" s="1"/>
  <c r="H75" i="3"/>
  <c r="I75" i="3" s="1"/>
  <c r="H81" i="3"/>
  <c r="I81" i="3" s="1"/>
  <c r="H97" i="3"/>
  <c r="I97" i="3" s="1"/>
  <c r="H77" i="3"/>
  <c r="I77" i="3" s="1"/>
  <c r="J77" i="3" s="1"/>
  <c r="L77" i="3" s="1"/>
  <c r="H73" i="3"/>
  <c r="I73" i="3" s="1"/>
  <c r="J73" i="3" s="1"/>
  <c r="L73" i="3" s="1"/>
  <c r="H89" i="3"/>
  <c r="I89" i="3" s="1"/>
  <c r="J89" i="3" s="1"/>
  <c r="L89" i="3" s="1"/>
  <c r="H69" i="3"/>
  <c r="I69" i="3" s="1"/>
  <c r="H95" i="3"/>
  <c r="I95" i="3" s="1"/>
  <c r="J95" i="3" s="1"/>
  <c r="L95" i="3" s="1"/>
  <c r="H83" i="3"/>
  <c r="I83" i="3" s="1"/>
  <c r="J83" i="3" s="1"/>
  <c r="L83" i="3" s="1"/>
  <c r="H9" i="3"/>
  <c r="I9" i="3" s="1"/>
  <c r="H18" i="3"/>
  <c r="I18" i="3" s="1"/>
  <c r="J18" i="3" s="1"/>
  <c r="L18" i="3" s="1"/>
  <c r="H6" i="3"/>
  <c r="I6" i="3" s="1"/>
  <c r="J6" i="3" s="1"/>
  <c r="L6" i="3" s="1"/>
  <c r="H22" i="3"/>
  <c r="I22" i="3" s="1"/>
  <c r="H40" i="3"/>
  <c r="I40" i="3" s="1"/>
  <c r="H34" i="3"/>
  <c r="I34" i="3" s="1"/>
  <c r="J34" i="3" s="1"/>
  <c r="L34" i="3" s="1"/>
  <c r="H36" i="3"/>
  <c r="I36" i="3" s="1"/>
  <c r="J36" i="3" s="1"/>
  <c r="L36" i="3" s="1"/>
  <c r="H52" i="3"/>
  <c r="I52" i="3" s="1"/>
  <c r="H44" i="3"/>
  <c r="I44" i="3" s="1"/>
  <c r="H42" i="3"/>
  <c r="I42" i="3" s="1"/>
  <c r="H58" i="3"/>
  <c r="I58" i="3" s="1"/>
  <c r="J58" i="3" s="1"/>
  <c r="L58" i="3" s="1"/>
  <c r="H86" i="3"/>
  <c r="I86" i="3" s="1"/>
  <c r="H65" i="3"/>
  <c r="I65" i="3" s="1"/>
  <c r="H20" i="3"/>
  <c r="I20" i="3" s="1"/>
  <c r="H8" i="3"/>
  <c r="I8" i="3" s="1"/>
  <c r="J8" i="3" s="1"/>
  <c r="L8" i="3" s="1"/>
  <c r="H74" i="3"/>
  <c r="I74" i="3" s="1"/>
  <c r="J74" i="3" s="1"/>
  <c r="L74" i="3" s="1"/>
  <c r="H54" i="3"/>
  <c r="I54" i="3" s="1"/>
  <c r="H102" i="3"/>
  <c r="I102" i="3" s="1"/>
  <c r="H107" i="3"/>
  <c r="I107" i="3" s="1"/>
  <c r="J107" i="3" s="1"/>
  <c r="L107" i="3" s="1"/>
  <c r="H67" i="3"/>
  <c r="I67" i="3" s="1"/>
  <c r="J67" i="3" s="1"/>
  <c r="L67" i="3" s="1"/>
  <c r="H14" i="3"/>
  <c r="I14" i="3" s="1"/>
  <c r="J14" i="3" s="1"/>
  <c r="L14" i="3" s="1"/>
  <c r="H25" i="3"/>
  <c r="I25" i="3" s="1"/>
  <c r="H33" i="3"/>
  <c r="I33" i="3" s="1"/>
  <c r="J33" i="3" s="1"/>
  <c r="L33" i="3" s="1"/>
  <c r="H45" i="3"/>
  <c r="I45" i="3" s="1"/>
  <c r="H12" i="3"/>
  <c r="I12" i="3" s="1"/>
  <c r="H24" i="3"/>
  <c r="I24" i="3" s="1"/>
  <c r="J24" i="3" s="1"/>
  <c r="L24" i="3" s="1"/>
  <c r="H79" i="3"/>
  <c r="I79" i="3" s="1"/>
  <c r="J79" i="3" s="1"/>
  <c r="L79" i="3" s="1"/>
  <c r="H101" i="3"/>
  <c r="I101" i="3" s="1"/>
  <c r="H94" i="3"/>
  <c r="I94" i="3" s="1"/>
  <c r="H48" i="3"/>
  <c r="I48" i="3" s="1"/>
  <c r="H70" i="3"/>
  <c r="I70" i="3" s="1"/>
  <c r="J70" i="3" s="1"/>
  <c r="L70" i="3" s="1"/>
  <c r="H50" i="3"/>
  <c r="I50" i="3" s="1"/>
  <c r="J50" i="3" s="1"/>
  <c r="L50" i="3" s="1"/>
  <c r="H85" i="3"/>
  <c r="I85" i="3" s="1"/>
  <c r="H91" i="3"/>
  <c r="I91" i="3" s="1"/>
  <c r="J91" i="3" s="1"/>
  <c r="L91" i="3" s="1"/>
  <c r="H93" i="3"/>
  <c r="I93" i="3" s="1"/>
  <c r="J93" i="3" s="1"/>
  <c r="L93" i="3" s="1"/>
  <c r="J7" i="3"/>
  <c r="L7" i="3" s="1"/>
  <c r="H15" i="3"/>
  <c r="I15" i="3" s="1"/>
  <c r="J15" i="3" s="1"/>
  <c r="L15" i="3" s="1"/>
  <c r="J46" i="3"/>
  <c r="L46" i="3" s="1"/>
  <c r="J9" i="3"/>
  <c r="L9" i="3" s="1"/>
  <c r="J45" i="3"/>
  <c r="L45" i="3" s="1"/>
  <c r="J106" i="3"/>
  <c r="L106" i="3" s="1"/>
  <c r="J25" i="3"/>
  <c r="L25" i="3" s="1"/>
  <c r="J16" i="3"/>
  <c r="L16" i="3" s="1"/>
  <c r="J32" i="3"/>
  <c r="L32" i="3" s="1"/>
  <c r="J86" i="3"/>
  <c r="L86" i="3" s="1"/>
  <c r="J98" i="3"/>
  <c r="L98" i="3" s="1"/>
  <c r="J48" i="3"/>
  <c r="L48" i="3" s="1"/>
  <c r="J78" i="3"/>
  <c r="L78" i="3" s="1"/>
  <c r="J65" i="3"/>
  <c r="L65" i="3" s="1"/>
  <c r="J81" i="3"/>
  <c r="L81" i="3" s="1"/>
  <c r="J97" i="3"/>
  <c r="L97" i="3" s="1"/>
  <c r="H55" i="3"/>
  <c r="I55" i="3" s="1"/>
  <c r="J55" i="3" s="1"/>
  <c r="L55" i="3" s="1"/>
  <c r="H108" i="3"/>
  <c r="I108" i="3" s="1"/>
  <c r="J108" i="3" s="1"/>
  <c r="L108" i="3" s="1"/>
  <c r="H64" i="3"/>
  <c r="I64" i="3" s="1"/>
  <c r="J22" i="3"/>
  <c r="L22" i="3" s="1"/>
  <c r="J42" i="3"/>
  <c r="L42" i="3" s="1"/>
  <c r="J30" i="3"/>
  <c r="L30" i="3" s="1"/>
  <c r="J64" i="3"/>
  <c r="L64" i="3" s="1"/>
  <c r="J99" i="3"/>
  <c r="L99" i="3" s="1"/>
  <c r="H104" i="3"/>
  <c r="I104" i="3" s="1"/>
  <c r="J104" i="3" s="1"/>
  <c r="L104" i="3" s="1"/>
  <c r="H59" i="3"/>
  <c r="I59" i="3" s="1"/>
  <c r="J59" i="3" s="1"/>
  <c r="L59" i="3" s="1"/>
  <c r="J19" i="3"/>
  <c r="L19" i="3" s="1"/>
  <c r="H27" i="3"/>
  <c r="I27" i="3" s="1"/>
  <c r="J27" i="3" s="1"/>
  <c r="L27" i="3" s="1"/>
  <c r="J38" i="3"/>
  <c r="L38" i="3" s="1"/>
  <c r="D111" i="3"/>
  <c r="E5" i="3"/>
  <c r="J61" i="3"/>
  <c r="L61" i="3" s="1"/>
  <c r="J21" i="3"/>
  <c r="L21" i="3" s="1"/>
  <c r="J29" i="3"/>
  <c r="L29" i="3" s="1"/>
  <c r="J20" i="3"/>
  <c r="L20" i="3" s="1"/>
  <c r="J37" i="3"/>
  <c r="L37" i="3" s="1"/>
  <c r="J102" i="3"/>
  <c r="L102" i="3" s="1"/>
  <c r="J52" i="3"/>
  <c r="L52" i="3" s="1"/>
  <c r="J94" i="3"/>
  <c r="L94" i="3" s="1"/>
  <c r="J69" i="3"/>
  <c r="L69" i="3" s="1"/>
  <c r="J85" i="3"/>
  <c r="L85" i="3" s="1"/>
  <c r="J101" i="3"/>
  <c r="L101" i="3" s="1"/>
  <c r="H76" i="3"/>
  <c r="I76" i="3" s="1"/>
  <c r="J76" i="3" s="1"/>
  <c r="L76" i="3" s="1"/>
  <c r="H109" i="3"/>
  <c r="I109" i="3" s="1"/>
  <c r="J109" i="3" s="1"/>
  <c r="L109" i="3" s="1"/>
  <c r="J78" i="2"/>
  <c r="K78" i="2" s="1"/>
  <c r="J74" i="2"/>
  <c r="K74" i="2" s="1"/>
  <c r="J50" i="2"/>
  <c r="K50" i="2" s="1"/>
  <c r="J67" i="2"/>
  <c r="K67" i="2" s="1"/>
  <c r="J71" i="2"/>
  <c r="K71" i="2" s="1"/>
  <c r="J51" i="2"/>
  <c r="K51" i="2" s="1"/>
  <c r="J54" i="2"/>
  <c r="K54" i="2" s="1"/>
  <c r="J34" i="2"/>
  <c r="K34" i="2" s="1"/>
  <c r="J30" i="2"/>
  <c r="K30" i="2" s="1"/>
  <c r="J37" i="2"/>
  <c r="K37" i="2" s="1"/>
  <c r="J62" i="2"/>
  <c r="K62" i="2" s="1"/>
  <c r="J83" i="2"/>
  <c r="K83" i="2" s="1"/>
  <c r="J58" i="2"/>
  <c r="K58" i="2" s="1"/>
  <c r="J13" i="2"/>
  <c r="K13" i="2" s="1"/>
  <c r="J9" i="2"/>
  <c r="K9" i="2" s="1"/>
  <c r="J8" i="2"/>
  <c r="K8" i="2" s="1"/>
  <c r="J28" i="2"/>
  <c r="K28" i="2" s="1"/>
  <c r="J26" i="2"/>
  <c r="K26" i="2" s="1"/>
  <c r="J10" i="2"/>
  <c r="K10" i="2" s="1"/>
  <c r="J15" i="2"/>
  <c r="K15" i="2" s="1"/>
  <c r="J29" i="2"/>
  <c r="K29" i="2" s="1"/>
  <c r="J42" i="2"/>
  <c r="K42" i="2" s="1"/>
  <c r="J64" i="2"/>
  <c r="K64" i="2" s="1"/>
  <c r="J46" i="2"/>
  <c r="K46" i="2" s="1"/>
  <c r="J44" i="2"/>
  <c r="K44" i="2" s="1"/>
  <c r="J52" i="2"/>
  <c r="K52" i="2" s="1"/>
  <c r="J65" i="2"/>
  <c r="K65" i="2" s="1"/>
  <c r="J35" i="2"/>
  <c r="K35" i="2" s="1"/>
  <c r="J70" i="2"/>
  <c r="K70" i="2" s="1"/>
  <c r="J66" i="2"/>
  <c r="K66" i="2" s="1"/>
  <c r="J49" i="2"/>
  <c r="K49" i="2" s="1"/>
  <c r="J14" i="2"/>
  <c r="K14" i="2" s="1"/>
  <c r="J16" i="2"/>
  <c r="K16" i="2" s="1"/>
  <c r="J23" i="2"/>
  <c r="K23" i="2" s="1"/>
  <c r="J25" i="2"/>
  <c r="K25" i="2" s="1"/>
  <c r="J17" i="2"/>
  <c r="K17" i="2" s="1"/>
  <c r="J68" i="2"/>
  <c r="K68" i="2" s="1"/>
  <c r="J33" i="2"/>
  <c r="K33" i="2" s="1"/>
  <c r="V33" i="2" s="1"/>
  <c r="W33" i="2" s="1"/>
  <c r="J18" i="2"/>
  <c r="K18" i="2" s="1"/>
  <c r="J32" i="2"/>
  <c r="K32" i="2" s="1"/>
  <c r="J36" i="2"/>
  <c r="K36" i="2" s="1"/>
  <c r="J45" i="2"/>
  <c r="K45" i="2" s="1"/>
  <c r="J61" i="2"/>
  <c r="K61" i="2" s="1"/>
  <c r="J63" i="2"/>
  <c r="K63" i="2" s="1"/>
  <c r="J77" i="2"/>
  <c r="K77" i="2" s="1"/>
  <c r="J79" i="2"/>
  <c r="K79" i="2" s="1"/>
  <c r="J80" i="2"/>
  <c r="K80" i="2" s="1"/>
  <c r="J84" i="2"/>
  <c r="K84" i="2" s="1"/>
  <c r="J81" i="2"/>
  <c r="K81" i="2" s="1"/>
  <c r="J19" i="2"/>
  <c r="K19" i="2" s="1"/>
  <c r="J22" i="2"/>
  <c r="K22" i="2" s="1"/>
  <c r="J47" i="2"/>
  <c r="K47" i="2" s="1"/>
  <c r="J6" i="2"/>
  <c r="K6" i="2" s="1"/>
  <c r="J11" i="2"/>
  <c r="K11" i="2" s="1"/>
  <c r="J41" i="2"/>
  <c r="K41" i="2" s="1"/>
  <c r="J57" i="2"/>
  <c r="K57" i="2" s="1"/>
  <c r="J59" i="2"/>
  <c r="K59" i="2" s="1"/>
  <c r="J31" i="2"/>
  <c r="K31" i="2" s="1"/>
  <c r="J43" i="2"/>
  <c r="K43" i="2" s="1"/>
  <c r="J53" i="2"/>
  <c r="K53" i="2" s="1"/>
  <c r="J55" i="2"/>
  <c r="K55" i="2" s="1"/>
  <c r="J56" i="2"/>
  <c r="K56" i="2" s="1"/>
  <c r="J82" i="2"/>
  <c r="K82" i="2" s="1"/>
  <c r="J7" i="2"/>
  <c r="K7" i="2" s="1"/>
  <c r="J21" i="2"/>
  <c r="K21" i="2" s="1"/>
  <c r="J12" i="2"/>
  <c r="K12" i="2" s="1"/>
  <c r="J39" i="2"/>
  <c r="K39" i="2" s="1"/>
  <c r="J75" i="2"/>
  <c r="K75" i="2" s="1"/>
  <c r="J73" i="2"/>
  <c r="K73" i="2" s="1"/>
  <c r="J20" i="2"/>
  <c r="K20" i="2" s="1"/>
  <c r="J24" i="2"/>
  <c r="K24" i="2" s="1"/>
  <c r="J38" i="2"/>
  <c r="K38" i="2" s="1"/>
  <c r="AA32" i="2"/>
  <c r="AB32" i="2" s="1"/>
  <c r="AA31" i="2"/>
  <c r="AB31" i="2" s="1"/>
  <c r="AA39" i="2"/>
  <c r="AB39" i="2" s="1"/>
  <c r="AA20" i="2"/>
  <c r="AB20" i="2" s="1"/>
  <c r="AA78" i="2"/>
  <c r="AB78" i="2" s="1"/>
  <c r="AA48" i="2"/>
  <c r="AB48" i="2" s="1"/>
  <c r="AA23" i="2"/>
  <c r="AB23" i="2" s="1"/>
  <c r="AA54" i="2"/>
  <c r="AB54" i="2" s="1"/>
  <c r="AA11" i="2"/>
  <c r="AB11" i="2" s="1"/>
  <c r="AA47" i="2"/>
  <c r="AB47" i="2" s="1"/>
  <c r="J60" i="2"/>
  <c r="K60" i="2" s="1"/>
  <c r="AA68" i="2"/>
  <c r="AB68" i="2" s="1"/>
  <c r="J76" i="2"/>
  <c r="K76" i="2" s="1"/>
  <c r="AA74" i="2"/>
  <c r="AB74" i="2" s="1"/>
  <c r="AA56" i="2"/>
  <c r="AB56" i="2" s="1"/>
  <c r="AA12" i="2"/>
  <c r="AB12" i="2" s="1"/>
  <c r="T81" i="2"/>
  <c r="T70" i="2"/>
  <c r="T60" i="2"/>
  <c r="T56" i="2"/>
  <c r="T52" i="2"/>
  <c r="T49" i="2"/>
  <c r="T44" i="2"/>
  <c r="T39" i="2"/>
  <c r="T32" i="2"/>
  <c r="T41" i="2"/>
  <c r="T28" i="2"/>
  <c r="T11" i="2"/>
  <c r="T14" i="2"/>
  <c r="T19" i="2"/>
  <c r="T23" i="2"/>
  <c r="T35" i="2"/>
  <c r="T25" i="2"/>
  <c r="T48" i="2"/>
  <c r="T61" i="2"/>
  <c r="T51" i="2"/>
  <c r="T46" i="2"/>
  <c r="T75" i="2"/>
  <c r="T64" i="2"/>
  <c r="T68" i="2"/>
  <c r="T72" i="2"/>
  <c r="T74" i="2"/>
  <c r="T76" i="2"/>
  <c r="T79" i="2"/>
  <c r="T82" i="2"/>
  <c r="T45" i="2"/>
  <c r="T59" i="2"/>
  <c r="T80" i="2"/>
  <c r="T84" i="2"/>
  <c r="T9" i="2"/>
  <c r="T12" i="2"/>
  <c r="T21" i="2"/>
  <c r="T6" i="2"/>
  <c r="T40" i="2"/>
  <c r="T66" i="2"/>
  <c r="T7" i="2"/>
  <c r="T31" i="2"/>
  <c r="T16" i="2"/>
  <c r="T26" i="2"/>
  <c r="T10" i="2"/>
  <c r="T15" i="2"/>
  <c r="T18" i="2"/>
  <c r="T22" i="2"/>
  <c r="T8" i="2"/>
  <c r="T47" i="2"/>
  <c r="T29" i="2"/>
  <c r="T43" i="2"/>
  <c r="T73" i="2"/>
  <c r="T58" i="2"/>
  <c r="T55" i="2"/>
  <c r="T67" i="2"/>
  <c r="T65" i="2"/>
  <c r="T78" i="2"/>
  <c r="T34" i="2"/>
  <c r="T20" i="2"/>
  <c r="T24" i="2"/>
  <c r="T38" i="2"/>
  <c r="T30" i="2"/>
  <c r="T57" i="2"/>
  <c r="T54" i="2"/>
  <c r="T53" i="2"/>
  <c r="T63" i="2"/>
  <c r="T71" i="2"/>
  <c r="T77" i="2"/>
  <c r="T62" i="2"/>
  <c r="T37" i="2"/>
  <c r="T69" i="2"/>
  <c r="T83" i="2"/>
  <c r="T36" i="2"/>
  <c r="T13" i="2"/>
  <c r="T17" i="2"/>
  <c r="T27" i="2"/>
  <c r="AA49" i="2"/>
  <c r="AB49" i="2" s="1"/>
  <c r="AA53" i="2"/>
  <c r="AB53" i="2" s="1"/>
  <c r="AA19" i="2"/>
  <c r="AB19" i="2" s="1"/>
  <c r="J27" i="2"/>
  <c r="K27" i="2" s="1"/>
  <c r="T42" i="2"/>
  <c r="AA80" i="2"/>
  <c r="AB80" i="2" s="1"/>
  <c r="E85" i="2"/>
  <c r="F5" i="2"/>
  <c r="AA37" i="2"/>
  <c r="AB37" i="2" s="1"/>
  <c r="J72" i="2"/>
  <c r="K72" i="2" s="1"/>
  <c r="J40" i="2"/>
  <c r="K40" i="2" s="1"/>
  <c r="AA59" i="2"/>
  <c r="AB59" i="2" s="1"/>
  <c r="AA55" i="2"/>
  <c r="AB55" i="2" s="1"/>
  <c r="AA66" i="2"/>
  <c r="AB66" i="2" s="1"/>
  <c r="AA43" i="2"/>
  <c r="AB43" i="2" s="1"/>
  <c r="AA24" i="2"/>
  <c r="AB24" i="2" s="1"/>
  <c r="AA6" i="2"/>
  <c r="AB6" i="2" s="1"/>
  <c r="AA30" i="2"/>
  <c r="AB30" i="2" s="1"/>
  <c r="AA38" i="2"/>
  <c r="AB38" i="2" s="1"/>
  <c r="AA5" i="2"/>
  <c r="AA36" i="2"/>
  <c r="AB36" i="2" s="1"/>
  <c r="AA44" i="2"/>
  <c r="AB44" i="2" s="1"/>
  <c r="AA70" i="2"/>
  <c r="AB70" i="2" s="1"/>
  <c r="AA50" i="2"/>
  <c r="AB50" i="2" s="1"/>
  <c r="AA65" i="2"/>
  <c r="AB65" i="2" s="1"/>
  <c r="AA84" i="2"/>
  <c r="AB84" i="2" s="1"/>
  <c r="AA67" i="2"/>
  <c r="AB67" i="2" s="1"/>
  <c r="AA13" i="2"/>
  <c r="AB13" i="2" s="1"/>
  <c r="AA9" i="2"/>
  <c r="AB9" i="2" s="1"/>
  <c r="AA18" i="2"/>
  <c r="AB18" i="2" s="1"/>
  <c r="AA22" i="2"/>
  <c r="AB22" i="2" s="1"/>
  <c r="AA28" i="2"/>
  <c r="AB28" i="2" s="1"/>
  <c r="AA63" i="2"/>
  <c r="AB63" i="2" s="1"/>
  <c r="AA83" i="2"/>
  <c r="AB83" i="2" s="1"/>
  <c r="AA14" i="2"/>
  <c r="AB14" i="2" s="1"/>
  <c r="AA21" i="2"/>
  <c r="AB21" i="2" s="1"/>
  <c r="AA17" i="2"/>
  <c r="AB17" i="2" s="1"/>
  <c r="AA25" i="2"/>
  <c r="AB25" i="2" s="1"/>
  <c r="AA64" i="2"/>
  <c r="AB64" i="2" s="1"/>
  <c r="AA69" i="2"/>
  <c r="AB69" i="2" s="1"/>
  <c r="AA75" i="2"/>
  <c r="AB75" i="2" s="1"/>
  <c r="AA34" i="2"/>
  <c r="AB34" i="2" s="1"/>
  <c r="AA51" i="2"/>
  <c r="AB51" i="2" s="1"/>
  <c r="AA79" i="2"/>
  <c r="AB79" i="2" s="1"/>
  <c r="AA27" i="2"/>
  <c r="AB27" i="2" s="1"/>
  <c r="AA33" i="2"/>
  <c r="AB33" i="2" s="1"/>
  <c r="AD33" i="2" s="1"/>
  <c r="AE33" i="2" s="1"/>
  <c r="AA71" i="2"/>
  <c r="AB71" i="2" s="1"/>
  <c r="AA10" i="2"/>
  <c r="AB10" i="2" s="1"/>
  <c r="AA42" i="2"/>
  <c r="AB42" i="2" s="1"/>
  <c r="X50" i="2"/>
  <c r="U50" i="2"/>
  <c r="AA8" i="2"/>
  <c r="AB8" i="2" s="1"/>
  <c r="O85" i="2"/>
  <c r="P5" i="2"/>
  <c r="P85" i="2" s="1"/>
  <c r="AA62" i="2"/>
  <c r="AB62" i="2" s="1"/>
  <c r="T85" i="2"/>
  <c r="U5" i="2"/>
  <c r="X5" i="2"/>
  <c r="AA45" i="2"/>
  <c r="AB45" i="2" s="1"/>
  <c r="J48" i="2"/>
  <c r="K48" i="2" s="1"/>
  <c r="AA76" i="2"/>
  <c r="AB76" i="2" s="1"/>
  <c r="AA15" i="2"/>
  <c r="AB15" i="2" s="1"/>
  <c r="AA61" i="2"/>
  <c r="AB61" i="2" s="1"/>
  <c r="AA60" i="2"/>
  <c r="AB60" i="2" s="1"/>
  <c r="AA77" i="2"/>
  <c r="AB77" i="2" s="1"/>
  <c r="X33" i="2"/>
  <c r="U33" i="2"/>
  <c r="AA35" i="2"/>
  <c r="AB35" i="2" s="1"/>
  <c r="J69" i="2"/>
  <c r="K69" i="2" s="1"/>
  <c r="J5" i="2"/>
  <c r="AA73" i="2"/>
  <c r="AB73" i="2" s="1"/>
  <c r="AA7" i="2"/>
  <c r="AB7" i="2" s="1"/>
  <c r="AA16" i="2"/>
  <c r="AB16" i="2" s="1"/>
  <c r="AA58" i="2"/>
  <c r="AB58" i="2" s="1"/>
  <c r="AA72" i="2"/>
  <c r="AB72" i="2" s="1"/>
  <c r="AA26" i="2"/>
  <c r="AB26" i="2" s="1"/>
  <c r="AA29" i="2"/>
  <c r="AB29" i="2" s="1"/>
  <c r="AA41" i="2"/>
  <c r="AB41" i="2" s="1"/>
  <c r="AA82" i="2"/>
  <c r="AB82" i="2" s="1"/>
  <c r="AA57" i="2"/>
  <c r="AB57" i="2" s="1"/>
  <c r="U85" i="1"/>
  <c r="V85" i="1" s="1"/>
  <c r="AC85" i="1" s="1"/>
  <c r="AE85" i="1" s="1"/>
  <c r="U87" i="1"/>
  <c r="V87" i="1" s="1"/>
  <c r="AC87" i="1" s="1"/>
  <c r="AE87" i="1" s="1"/>
  <c r="W17" i="1"/>
  <c r="T17" i="1"/>
  <c r="U17" i="1" s="1"/>
  <c r="V17" i="1" s="1"/>
  <c r="W25" i="1"/>
  <c r="T25" i="1"/>
  <c r="U25" i="1" s="1"/>
  <c r="V25" i="1" s="1"/>
  <c r="W37" i="1"/>
  <c r="T37" i="1"/>
  <c r="U37" i="1" s="1"/>
  <c r="V37" i="1" s="1"/>
  <c r="AC37" i="1" s="1"/>
  <c r="AE37" i="1" s="1"/>
  <c r="T87" i="1"/>
  <c r="W87" i="1"/>
  <c r="I112" i="1"/>
  <c r="U54" i="1"/>
  <c r="V54" i="1" s="1"/>
  <c r="AC54" i="1" s="1"/>
  <c r="AE54" i="1" s="1"/>
  <c r="U50" i="1"/>
  <c r="V50" i="1" s="1"/>
  <c r="AC50" i="1" s="1"/>
  <c r="AE50" i="1" s="1"/>
  <c r="U62" i="1"/>
  <c r="V62" i="1" s="1"/>
  <c r="AC62" i="1" s="1"/>
  <c r="AE62" i="1" s="1"/>
  <c r="U70" i="1"/>
  <c r="V70" i="1" s="1"/>
  <c r="AC70" i="1" s="1"/>
  <c r="AE70" i="1" s="1"/>
  <c r="U78" i="1"/>
  <c r="V78" i="1" s="1"/>
  <c r="AC78" i="1" s="1"/>
  <c r="AE78" i="1" s="1"/>
  <c r="U59" i="1"/>
  <c r="V59" i="1" s="1"/>
  <c r="AC59" i="1" s="1"/>
  <c r="AE59" i="1" s="1"/>
  <c r="U67" i="1"/>
  <c r="V67" i="1" s="1"/>
  <c r="AC67" i="1" s="1"/>
  <c r="AE67" i="1" s="1"/>
  <c r="U75" i="1"/>
  <c r="V75" i="1" s="1"/>
  <c r="AC75" i="1" s="1"/>
  <c r="AE75" i="1" s="1"/>
  <c r="T12" i="1"/>
  <c r="U12" i="1" s="1"/>
  <c r="V12" i="1" s="1"/>
  <c r="AC12" i="1" s="1"/>
  <c r="AE12" i="1" s="1"/>
  <c r="W12" i="1"/>
  <c r="T8" i="1"/>
  <c r="W8" i="1"/>
  <c r="W18" i="1"/>
  <c r="T18" i="1"/>
  <c r="U18" i="1" s="1"/>
  <c r="V18" i="1" s="1"/>
  <c r="W22" i="1"/>
  <c r="T22" i="1"/>
  <c r="U22" i="1" s="1"/>
  <c r="V22" i="1" s="1"/>
  <c r="W26" i="1"/>
  <c r="T26" i="1"/>
  <c r="U26" i="1" s="1"/>
  <c r="V26" i="1" s="1"/>
  <c r="AC26" i="1" s="1"/>
  <c r="AE26" i="1" s="1"/>
  <c r="W30" i="1"/>
  <c r="T30" i="1"/>
  <c r="U30" i="1" s="1"/>
  <c r="V30" i="1" s="1"/>
  <c r="W34" i="1"/>
  <c r="T34" i="1"/>
  <c r="U34" i="1" s="1"/>
  <c r="V34" i="1" s="1"/>
  <c r="T83" i="1"/>
  <c r="U83" i="1" s="1"/>
  <c r="V83" i="1" s="1"/>
  <c r="AC83" i="1" s="1"/>
  <c r="AE83" i="1" s="1"/>
  <c r="W83" i="1"/>
  <c r="T84" i="1"/>
  <c r="U84" i="1" s="1"/>
  <c r="V84" i="1" s="1"/>
  <c r="AC84" i="1" s="1"/>
  <c r="AE84" i="1" s="1"/>
  <c r="W84" i="1"/>
  <c r="T88" i="1"/>
  <c r="U88" i="1" s="1"/>
  <c r="V88" i="1" s="1"/>
  <c r="AC88" i="1" s="1"/>
  <c r="AE88" i="1" s="1"/>
  <c r="W88" i="1"/>
  <c r="T92" i="1"/>
  <c r="U92" i="1" s="1"/>
  <c r="V92" i="1" s="1"/>
  <c r="AC92" i="1" s="1"/>
  <c r="AE92" i="1" s="1"/>
  <c r="W92" i="1"/>
  <c r="T103" i="1"/>
  <c r="U103" i="1" s="1"/>
  <c r="V103" i="1" s="1"/>
  <c r="AC103" i="1" s="1"/>
  <c r="AE103" i="1" s="1"/>
  <c r="W103" i="1"/>
  <c r="T109" i="1"/>
  <c r="U109" i="1" s="1"/>
  <c r="V109" i="1" s="1"/>
  <c r="AC109" i="1" s="1"/>
  <c r="AE109" i="1" s="1"/>
  <c r="W109" i="1"/>
  <c r="O112" i="1"/>
  <c r="U45" i="1"/>
  <c r="V45" i="1" s="1"/>
  <c r="AC45" i="1" s="1"/>
  <c r="AE45" i="1" s="1"/>
  <c r="W10" i="1"/>
  <c r="T10" i="1"/>
  <c r="U10" i="1" s="1"/>
  <c r="V10" i="1" s="1"/>
  <c r="W21" i="1"/>
  <c r="T21" i="1"/>
  <c r="U21" i="1" s="1"/>
  <c r="V21" i="1" s="1"/>
  <c r="W33" i="1"/>
  <c r="T33" i="1"/>
  <c r="U33" i="1" s="1"/>
  <c r="V33" i="1" s="1"/>
  <c r="W95" i="1"/>
  <c r="T95" i="1"/>
  <c r="U95" i="1" s="1"/>
  <c r="V95" i="1" s="1"/>
  <c r="AC95" i="1" s="1"/>
  <c r="AE95" i="1" s="1"/>
  <c r="AC39" i="1"/>
  <c r="AE39" i="1" s="1"/>
  <c r="U8" i="1"/>
  <c r="V8" i="1" s="1"/>
  <c r="AC8" i="1" s="1"/>
  <c r="AE8" i="1" s="1"/>
  <c r="U9" i="1"/>
  <c r="V9" i="1" s="1"/>
  <c r="AC9" i="1" s="1"/>
  <c r="AE9" i="1" s="1"/>
  <c r="U52" i="1"/>
  <c r="V52" i="1" s="1"/>
  <c r="AC52" i="1" s="1"/>
  <c r="AE52" i="1" s="1"/>
  <c r="AC64" i="1"/>
  <c r="AE64" i="1" s="1"/>
  <c r="AC72" i="1"/>
  <c r="AE72" i="1" s="1"/>
  <c r="AC80" i="1"/>
  <c r="AE80" i="1" s="1"/>
  <c r="U61" i="1"/>
  <c r="V61" i="1" s="1"/>
  <c r="AC61" i="1" s="1"/>
  <c r="AE61" i="1" s="1"/>
  <c r="U69" i="1"/>
  <c r="V69" i="1" s="1"/>
  <c r="AC69" i="1" s="1"/>
  <c r="AE69" i="1" s="1"/>
  <c r="U77" i="1"/>
  <c r="V77" i="1" s="1"/>
  <c r="AC77" i="1" s="1"/>
  <c r="AE77" i="1" s="1"/>
  <c r="W6" i="1"/>
  <c r="T6" i="1"/>
  <c r="U6" i="1" s="1"/>
  <c r="V6" i="1" s="1"/>
  <c r="W15" i="1"/>
  <c r="T15" i="1"/>
  <c r="U15" i="1" s="1"/>
  <c r="V15" i="1" s="1"/>
  <c r="W19" i="1"/>
  <c r="T19" i="1"/>
  <c r="U19" i="1" s="1"/>
  <c r="V19" i="1" s="1"/>
  <c r="W23" i="1"/>
  <c r="T23" i="1"/>
  <c r="U23" i="1" s="1"/>
  <c r="V23" i="1" s="1"/>
  <c r="W27" i="1"/>
  <c r="T27" i="1"/>
  <c r="U27" i="1" s="1"/>
  <c r="V27" i="1" s="1"/>
  <c r="W31" i="1"/>
  <c r="T31" i="1"/>
  <c r="U31" i="1" s="1"/>
  <c r="V31" i="1" s="1"/>
  <c r="W35" i="1"/>
  <c r="T35" i="1"/>
  <c r="U35" i="1" s="1"/>
  <c r="V35" i="1" s="1"/>
  <c r="T104" i="1"/>
  <c r="U104" i="1" s="1"/>
  <c r="V104" i="1" s="1"/>
  <c r="AC104" i="1" s="1"/>
  <c r="AE104" i="1" s="1"/>
  <c r="W104" i="1"/>
  <c r="T85" i="1"/>
  <c r="W85" i="1"/>
  <c r="T89" i="1"/>
  <c r="U89" i="1" s="1"/>
  <c r="V89" i="1" s="1"/>
  <c r="AC89" i="1" s="1"/>
  <c r="AE89" i="1" s="1"/>
  <c r="W89" i="1"/>
  <c r="T93" i="1"/>
  <c r="U93" i="1" s="1"/>
  <c r="V93" i="1" s="1"/>
  <c r="AC93" i="1" s="1"/>
  <c r="AE93" i="1" s="1"/>
  <c r="W93" i="1"/>
  <c r="T107" i="1"/>
  <c r="U107" i="1" s="1"/>
  <c r="V107" i="1" s="1"/>
  <c r="AC107" i="1" s="1"/>
  <c r="AE107" i="1" s="1"/>
  <c r="W107" i="1"/>
  <c r="T102" i="1"/>
  <c r="U102" i="1" s="1"/>
  <c r="V102" i="1" s="1"/>
  <c r="AC102" i="1" s="1"/>
  <c r="AE102" i="1" s="1"/>
  <c r="W102" i="1"/>
  <c r="N112" i="1"/>
  <c r="AA112" i="1"/>
  <c r="S112" i="1"/>
  <c r="T5" i="1"/>
  <c r="W5" i="1"/>
  <c r="W29" i="1"/>
  <c r="T29" i="1"/>
  <c r="U29" i="1" s="1"/>
  <c r="V29" i="1" s="1"/>
  <c r="AC29" i="1" s="1"/>
  <c r="AE29" i="1" s="1"/>
  <c r="T108" i="1"/>
  <c r="U108" i="1" s="1"/>
  <c r="V108" i="1" s="1"/>
  <c r="W108" i="1"/>
  <c r="T91" i="1"/>
  <c r="U91" i="1" s="1"/>
  <c r="V91" i="1" s="1"/>
  <c r="AC91" i="1" s="1"/>
  <c r="AE91" i="1" s="1"/>
  <c r="W91" i="1"/>
  <c r="T105" i="1"/>
  <c r="U105" i="1" s="1"/>
  <c r="V105" i="1" s="1"/>
  <c r="W105" i="1"/>
  <c r="T110" i="1"/>
  <c r="U110" i="1" s="1"/>
  <c r="V110" i="1" s="1"/>
  <c r="W110" i="1"/>
  <c r="U56" i="1"/>
  <c r="V56" i="1" s="1"/>
  <c r="AC56" i="1" s="1"/>
  <c r="AE56" i="1" s="1"/>
  <c r="U40" i="1"/>
  <c r="V40" i="1" s="1"/>
  <c r="AC40" i="1" s="1"/>
  <c r="AE40" i="1" s="1"/>
  <c r="U58" i="1"/>
  <c r="V58" i="1" s="1"/>
  <c r="AC58" i="1" s="1"/>
  <c r="AE58" i="1" s="1"/>
  <c r="U66" i="1"/>
  <c r="V66" i="1" s="1"/>
  <c r="AC66" i="1" s="1"/>
  <c r="AE66" i="1" s="1"/>
  <c r="U74" i="1"/>
  <c r="V74" i="1" s="1"/>
  <c r="AC74" i="1" s="1"/>
  <c r="AE74" i="1" s="1"/>
  <c r="U82" i="1"/>
  <c r="V82" i="1" s="1"/>
  <c r="AC82" i="1" s="1"/>
  <c r="AE82" i="1" s="1"/>
  <c r="U63" i="1"/>
  <c r="V63" i="1" s="1"/>
  <c r="AC63" i="1" s="1"/>
  <c r="AE63" i="1" s="1"/>
  <c r="U71" i="1"/>
  <c r="V71" i="1" s="1"/>
  <c r="AC71" i="1" s="1"/>
  <c r="AE71" i="1" s="1"/>
  <c r="U79" i="1"/>
  <c r="V79" i="1" s="1"/>
  <c r="AC79" i="1" s="1"/>
  <c r="AE79" i="1" s="1"/>
  <c r="W13" i="1"/>
  <c r="T13" i="1"/>
  <c r="U13" i="1" s="1"/>
  <c r="V13" i="1" s="1"/>
  <c r="W14" i="1"/>
  <c r="T14" i="1"/>
  <c r="U14" i="1" s="1"/>
  <c r="V14" i="1" s="1"/>
  <c r="AC14" i="1" s="1"/>
  <c r="AE14" i="1" s="1"/>
  <c r="W16" i="1"/>
  <c r="T16" i="1"/>
  <c r="U16" i="1" s="1"/>
  <c r="V16" i="1" s="1"/>
  <c r="W20" i="1"/>
  <c r="T20" i="1"/>
  <c r="U20" i="1" s="1"/>
  <c r="V20" i="1" s="1"/>
  <c r="W24" i="1"/>
  <c r="T24" i="1"/>
  <c r="U24" i="1" s="1"/>
  <c r="V24" i="1" s="1"/>
  <c r="W28" i="1"/>
  <c r="T28" i="1"/>
  <c r="U28" i="1" s="1"/>
  <c r="V28" i="1" s="1"/>
  <c r="W32" i="1"/>
  <c r="T32" i="1"/>
  <c r="U32" i="1" s="1"/>
  <c r="V32" i="1" s="1"/>
  <c r="W36" i="1"/>
  <c r="T36" i="1"/>
  <c r="U36" i="1" s="1"/>
  <c r="V36" i="1" s="1"/>
  <c r="T100" i="1"/>
  <c r="U100" i="1" s="1"/>
  <c r="V100" i="1" s="1"/>
  <c r="AC100" i="1" s="1"/>
  <c r="AE100" i="1" s="1"/>
  <c r="W100" i="1"/>
  <c r="T86" i="1"/>
  <c r="U86" i="1" s="1"/>
  <c r="V86" i="1" s="1"/>
  <c r="AC86" i="1" s="1"/>
  <c r="AE86" i="1" s="1"/>
  <c r="W86" i="1"/>
  <c r="T90" i="1"/>
  <c r="U90" i="1" s="1"/>
  <c r="V90" i="1" s="1"/>
  <c r="AC90" i="1" s="1"/>
  <c r="AE90" i="1" s="1"/>
  <c r="W90" i="1"/>
  <c r="T94" i="1"/>
  <c r="U94" i="1" s="1"/>
  <c r="V94" i="1" s="1"/>
  <c r="AC94" i="1" s="1"/>
  <c r="AE94" i="1" s="1"/>
  <c r="W94" i="1"/>
  <c r="T101" i="1"/>
  <c r="U101" i="1" s="1"/>
  <c r="V101" i="1" s="1"/>
  <c r="AC101" i="1" s="1"/>
  <c r="AE101" i="1" s="1"/>
  <c r="W101" i="1"/>
  <c r="T106" i="1"/>
  <c r="U106" i="1" s="1"/>
  <c r="V106" i="1" s="1"/>
  <c r="AC106" i="1" s="1"/>
  <c r="AE106" i="1" s="1"/>
  <c r="W106" i="1"/>
  <c r="J112" i="1"/>
  <c r="U5" i="1"/>
  <c r="Z112" i="1"/>
  <c r="BP7" i="4" l="1"/>
  <c r="AE7" i="4"/>
  <c r="AB56" i="4"/>
  <c r="H111" i="3"/>
  <c r="I5" i="3"/>
  <c r="I111" i="3" s="1"/>
  <c r="E111" i="3"/>
  <c r="J5" i="3"/>
  <c r="X42" i="2"/>
  <c r="U42" i="2"/>
  <c r="U36" i="2"/>
  <c r="X36" i="2"/>
  <c r="U38" i="2"/>
  <c r="X38" i="2"/>
  <c r="X47" i="2"/>
  <c r="U47" i="2"/>
  <c r="V47" i="2" s="1"/>
  <c r="W47" i="2" s="1"/>
  <c r="AD47" i="2" s="1"/>
  <c r="AE47" i="2" s="1"/>
  <c r="U31" i="2"/>
  <c r="X31" i="2"/>
  <c r="X82" i="2"/>
  <c r="U82" i="2"/>
  <c r="V82" i="2" s="1"/>
  <c r="W82" i="2" s="1"/>
  <c r="AD82" i="2" s="1"/>
  <c r="AE82" i="2" s="1"/>
  <c r="X25" i="2"/>
  <c r="U25" i="2"/>
  <c r="U52" i="2"/>
  <c r="X52" i="2"/>
  <c r="U81" i="2"/>
  <c r="X81" i="2"/>
  <c r="V56" i="2"/>
  <c r="W56" i="2" s="1"/>
  <c r="V42" i="2"/>
  <c r="W42" i="2" s="1"/>
  <c r="AD42" i="2" s="1"/>
  <c r="AE42" i="2" s="1"/>
  <c r="V13" i="2"/>
  <c r="W13" i="2" s="1"/>
  <c r="AD13" i="2" s="1"/>
  <c r="AE13" i="2" s="1"/>
  <c r="U27" i="2"/>
  <c r="V27" i="2" s="1"/>
  <c r="W27" i="2" s="1"/>
  <c r="AD27" i="2" s="1"/>
  <c r="AE27" i="2" s="1"/>
  <c r="X27" i="2"/>
  <c r="U83" i="2"/>
  <c r="X83" i="2"/>
  <c r="U77" i="2"/>
  <c r="X77" i="2"/>
  <c r="X54" i="2"/>
  <c r="U54" i="2"/>
  <c r="X24" i="2"/>
  <c r="U24" i="2"/>
  <c r="V24" i="2" s="1"/>
  <c r="W24" i="2" s="1"/>
  <c r="AD24" i="2" s="1"/>
  <c r="AE24" i="2" s="1"/>
  <c r="U65" i="2"/>
  <c r="X65" i="2"/>
  <c r="U73" i="2"/>
  <c r="V73" i="2" s="1"/>
  <c r="W73" i="2" s="1"/>
  <c r="AD73" i="2" s="1"/>
  <c r="AE73" i="2" s="1"/>
  <c r="X73" i="2"/>
  <c r="X8" i="2"/>
  <c r="U8" i="2"/>
  <c r="X10" i="2"/>
  <c r="U10" i="2"/>
  <c r="U7" i="2"/>
  <c r="X7" i="2"/>
  <c r="U21" i="2"/>
  <c r="V21" i="2" s="1"/>
  <c r="W21" i="2" s="1"/>
  <c r="AD21" i="2" s="1"/>
  <c r="AE21" i="2" s="1"/>
  <c r="X21" i="2"/>
  <c r="U80" i="2"/>
  <c r="X80" i="2"/>
  <c r="U79" i="2"/>
  <c r="V79" i="2" s="1"/>
  <c r="W79" i="2" s="1"/>
  <c r="AD79" i="2" s="1"/>
  <c r="AE79" i="2" s="1"/>
  <c r="X79" i="2"/>
  <c r="X68" i="2"/>
  <c r="U68" i="2"/>
  <c r="V68" i="2" s="1"/>
  <c r="W68" i="2" s="1"/>
  <c r="AD68" i="2" s="1"/>
  <c r="AE68" i="2" s="1"/>
  <c r="U51" i="2"/>
  <c r="V51" i="2" s="1"/>
  <c r="W51" i="2" s="1"/>
  <c r="AD51" i="2" s="1"/>
  <c r="AE51" i="2" s="1"/>
  <c r="X51" i="2"/>
  <c r="U35" i="2"/>
  <c r="X35" i="2"/>
  <c r="U11" i="2"/>
  <c r="X11" i="2"/>
  <c r="U39" i="2"/>
  <c r="X39" i="2"/>
  <c r="U56" i="2"/>
  <c r="X56" i="2"/>
  <c r="V81" i="2"/>
  <c r="W81" i="2" s="1"/>
  <c r="AD81" i="2" s="1"/>
  <c r="AE81" i="2" s="1"/>
  <c r="V77" i="2"/>
  <c r="W77" i="2" s="1"/>
  <c r="V36" i="2"/>
  <c r="W36" i="2" s="1"/>
  <c r="AD36" i="2" s="1"/>
  <c r="AE36" i="2" s="1"/>
  <c r="V70" i="2"/>
  <c r="W70" i="2" s="1"/>
  <c r="AD70" i="2" s="1"/>
  <c r="AE70" i="2" s="1"/>
  <c r="V30" i="2"/>
  <c r="W30" i="2" s="1"/>
  <c r="V48" i="2"/>
  <c r="W48" i="2" s="1"/>
  <c r="AD48" i="2" s="1"/>
  <c r="AE48" i="2" s="1"/>
  <c r="X62" i="2"/>
  <c r="U62" i="2"/>
  <c r="X78" i="2"/>
  <c r="U78" i="2"/>
  <c r="V78" i="2" s="1"/>
  <c r="W78" i="2" s="1"/>
  <c r="AD78" i="2" s="1"/>
  <c r="AE78" i="2" s="1"/>
  <c r="U15" i="2"/>
  <c r="V15" i="2" s="1"/>
  <c r="W15" i="2" s="1"/>
  <c r="AD15" i="2" s="1"/>
  <c r="AE15" i="2" s="1"/>
  <c r="X15" i="2"/>
  <c r="U84" i="2"/>
  <c r="X84" i="2"/>
  <c r="U46" i="2"/>
  <c r="V46" i="2" s="1"/>
  <c r="W46" i="2" s="1"/>
  <c r="AD46" i="2" s="1"/>
  <c r="AE46" i="2" s="1"/>
  <c r="X46" i="2"/>
  <c r="X32" i="2"/>
  <c r="U32" i="2"/>
  <c r="V32" i="2" s="1"/>
  <c r="W32" i="2" s="1"/>
  <c r="AD32" i="2" s="1"/>
  <c r="AE32" i="2" s="1"/>
  <c r="V11" i="2"/>
  <c r="W11" i="2" s="1"/>
  <c r="AD11" i="2" s="1"/>
  <c r="AE11" i="2" s="1"/>
  <c r="J85" i="2"/>
  <c r="K5" i="2"/>
  <c r="AA85" i="2"/>
  <c r="AB5" i="2"/>
  <c r="AB85" i="2" s="1"/>
  <c r="V72" i="2"/>
  <c r="W72" i="2" s="1"/>
  <c r="F85" i="2"/>
  <c r="F90" i="2" s="1"/>
  <c r="U17" i="2"/>
  <c r="X17" i="2"/>
  <c r="U69" i="2"/>
  <c r="V69" i="2" s="1"/>
  <c r="W69" i="2" s="1"/>
  <c r="AD69" i="2" s="1"/>
  <c r="AE69" i="2" s="1"/>
  <c r="X69" i="2"/>
  <c r="U71" i="2"/>
  <c r="V71" i="2" s="1"/>
  <c r="W71" i="2" s="1"/>
  <c r="AD71" i="2" s="1"/>
  <c r="AE71" i="2" s="1"/>
  <c r="X71" i="2"/>
  <c r="U57" i="2"/>
  <c r="V57" i="2" s="1"/>
  <c r="W57" i="2" s="1"/>
  <c r="AD57" i="2" s="1"/>
  <c r="AE57" i="2" s="1"/>
  <c r="X57" i="2"/>
  <c r="X20" i="2"/>
  <c r="U20" i="2"/>
  <c r="V20" i="2" s="1"/>
  <c r="W20" i="2" s="1"/>
  <c r="AD20" i="2" s="1"/>
  <c r="AE20" i="2" s="1"/>
  <c r="X67" i="2"/>
  <c r="U67" i="2"/>
  <c r="X43" i="2"/>
  <c r="U43" i="2"/>
  <c r="V43" i="2" s="1"/>
  <c r="W43" i="2" s="1"/>
  <c r="AD43" i="2" s="1"/>
  <c r="AE43" i="2" s="1"/>
  <c r="X22" i="2"/>
  <c r="U22" i="2"/>
  <c r="X26" i="2"/>
  <c r="U26" i="2"/>
  <c r="V26" i="2" s="1"/>
  <c r="W26" i="2" s="1"/>
  <c r="AD26" i="2" s="1"/>
  <c r="AE26" i="2" s="1"/>
  <c r="X66" i="2"/>
  <c r="U66" i="2"/>
  <c r="V66" i="2" s="1"/>
  <c r="W66" i="2" s="1"/>
  <c r="AD66" i="2" s="1"/>
  <c r="AE66" i="2" s="1"/>
  <c r="X12" i="2"/>
  <c r="U12" i="2"/>
  <c r="U59" i="2"/>
  <c r="V59" i="2" s="1"/>
  <c r="W59" i="2" s="1"/>
  <c r="AD59" i="2" s="1"/>
  <c r="AE59" i="2" s="1"/>
  <c r="X59" i="2"/>
  <c r="U76" i="2"/>
  <c r="X76" i="2"/>
  <c r="X64" i="2"/>
  <c r="U64" i="2"/>
  <c r="U61" i="2"/>
  <c r="X61" i="2"/>
  <c r="U23" i="2"/>
  <c r="V23" i="2" s="1"/>
  <c r="W23" i="2" s="1"/>
  <c r="AD23" i="2" s="1"/>
  <c r="AE23" i="2" s="1"/>
  <c r="X23" i="2"/>
  <c r="X28" i="2"/>
  <c r="U28" i="2"/>
  <c r="V28" i="2" s="1"/>
  <c r="W28" i="2" s="1"/>
  <c r="AD28" i="2" s="1"/>
  <c r="AE28" i="2" s="1"/>
  <c r="U44" i="2"/>
  <c r="V44" i="2" s="1"/>
  <c r="W44" i="2" s="1"/>
  <c r="AD44" i="2" s="1"/>
  <c r="AE44" i="2" s="1"/>
  <c r="X44" i="2"/>
  <c r="U60" i="2"/>
  <c r="X60" i="2"/>
  <c r="V76" i="2"/>
  <c r="W76" i="2" s="1"/>
  <c r="AD76" i="2" s="1"/>
  <c r="AE76" i="2" s="1"/>
  <c r="V38" i="2"/>
  <c r="W38" i="2" s="1"/>
  <c r="AD38" i="2" s="1"/>
  <c r="AE38" i="2" s="1"/>
  <c r="V7" i="2"/>
  <c r="W7" i="2" s="1"/>
  <c r="AD7" i="2" s="1"/>
  <c r="AE7" i="2" s="1"/>
  <c r="V84" i="2"/>
  <c r="W84" i="2" s="1"/>
  <c r="AD84" i="2" s="1"/>
  <c r="AE84" i="2" s="1"/>
  <c r="V63" i="2"/>
  <c r="W63" i="2" s="1"/>
  <c r="AD63" i="2" s="1"/>
  <c r="AE63" i="2" s="1"/>
  <c r="V17" i="2"/>
  <c r="W17" i="2" s="1"/>
  <c r="V35" i="2"/>
  <c r="W35" i="2" s="1"/>
  <c r="AD35" i="2" s="1"/>
  <c r="AE35" i="2" s="1"/>
  <c r="V8" i="2"/>
  <c r="W8" i="2" s="1"/>
  <c r="AD8" i="2" s="1"/>
  <c r="AE8" i="2" s="1"/>
  <c r="V83" i="2"/>
  <c r="W83" i="2" s="1"/>
  <c r="AD83" i="2" s="1"/>
  <c r="AE83" i="2" s="1"/>
  <c r="V67" i="2"/>
  <c r="W67" i="2" s="1"/>
  <c r="U53" i="2"/>
  <c r="V53" i="2" s="1"/>
  <c r="W53" i="2" s="1"/>
  <c r="AD53" i="2" s="1"/>
  <c r="AE53" i="2" s="1"/>
  <c r="X53" i="2"/>
  <c r="X58" i="2"/>
  <c r="U58" i="2"/>
  <c r="V58" i="2" s="1"/>
  <c r="W58" i="2" s="1"/>
  <c r="AD58" i="2" s="1"/>
  <c r="AE58" i="2" s="1"/>
  <c r="U6" i="2"/>
  <c r="V6" i="2" s="1"/>
  <c r="W6" i="2" s="1"/>
  <c r="AD6" i="2" s="1"/>
  <c r="AE6" i="2" s="1"/>
  <c r="X6" i="2"/>
  <c r="U72" i="2"/>
  <c r="X72" i="2"/>
  <c r="U14" i="2"/>
  <c r="V14" i="2" s="1"/>
  <c r="W14" i="2" s="1"/>
  <c r="AD14" i="2" s="1"/>
  <c r="AE14" i="2" s="1"/>
  <c r="X14" i="2"/>
  <c r="V60" i="2"/>
  <c r="W60" i="2" s="1"/>
  <c r="V12" i="2"/>
  <c r="W12" i="2" s="1"/>
  <c r="AD12" i="2" s="1"/>
  <c r="AE12" i="2" s="1"/>
  <c r="V31" i="2"/>
  <c r="W31" i="2" s="1"/>
  <c r="AD31" i="2" s="1"/>
  <c r="AE31" i="2" s="1"/>
  <c r="V52" i="2"/>
  <c r="W52" i="2" s="1"/>
  <c r="AD52" i="2" s="1"/>
  <c r="AE52" i="2" s="1"/>
  <c r="V40" i="2"/>
  <c r="W40" i="2" s="1"/>
  <c r="U13" i="2"/>
  <c r="X13" i="2"/>
  <c r="X37" i="2"/>
  <c r="U37" i="2"/>
  <c r="V37" i="2" s="1"/>
  <c r="W37" i="2" s="1"/>
  <c r="AD37" i="2" s="1"/>
  <c r="AE37" i="2" s="1"/>
  <c r="U63" i="2"/>
  <c r="X63" i="2"/>
  <c r="U30" i="2"/>
  <c r="X30" i="2"/>
  <c r="U34" i="2"/>
  <c r="V34" i="2" s="1"/>
  <c r="W34" i="2" s="1"/>
  <c r="AD34" i="2" s="1"/>
  <c r="AE34" i="2" s="1"/>
  <c r="X34" i="2"/>
  <c r="U55" i="2"/>
  <c r="V55" i="2" s="1"/>
  <c r="W55" i="2" s="1"/>
  <c r="AD55" i="2" s="1"/>
  <c r="AE55" i="2" s="1"/>
  <c r="X55" i="2"/>
  <c r="X29" i="2"/>
  <c r="U29" i="2"/>
  <c r="V29" i="2" s="1"/>
  <c r="W29" i="2" s="1"/>
  <c r="AD29" i="2" s="1"/>
  <c r="AE29" i="2" s="1"/>
  <c r="X18" i="2"/>
  <c r="U18" i="2"/>
  <c r="V18" i="2" s="1"/>
  <c r="W18" i="2" s="1"/>
  <c r="AD18" i="2" s="1"/>
  <c r="AE18" i="2" s="1"/>
  <c r="X16" i="2"/>
  <c r="U16" i="2"/>
  <c r="V16" i="2" s="1"/>
  <c r="W16" i="2" s="1"/>
  <c r="AD16" i="2" s="1"/>
  <c r="AE16" i="2" s="1"/>
  <c r="U40" i="2"/>
  <c r="X40" i="2"/>
  <c r="U9" i="2"/>
  <c r="X9" i="2"/>
  <c r="U45" i="2"/>
  <c r="V45" i="2" s="1"/>
  <c r="W45" i="2" s="1"/>
  <c r="AD45" i="2" s="1"/>
  <c r="AE45" i="2" s="1"/>
  <c r="X45" i="2"/>
  <c r="X74" i="2"/>
  <c r="U74" i="2"/>
  <c r="V74" i="2" s="1"/>
  <c r="W74" i="2" s="1"/>
  <c r="AD74" i="2" s="1"/>
  <c r="AE74" i="2" s="1"/>
  <c r="U75" i="2"/>
  <c r="V75" i="2" s="1"/>
  <c r="W75" i="2" s="1"/>
  <c r="AD75" i="2" s="1"/>
  <c r="AE75" i="2" s="1"/>
  <c r="X75" i="2"/>
  <c r="U48" i="2"/>
  <c r="X48" i="2"/>
  <c r="U19" i="2"/>
  <c r="V19" i="2" s="1"/>
  <c r="W19" i="2" s="1"/>
  <c r="AD19" i="2" s="1"/>
  <c r="AE19" i="2" s="1"/>
  <c r="X19" i="2"/>
  <c r="X85" i="2" s="1"/>
  <c r="X41" i="2"/>
  <c r="U41" i="2"/>
  <c r="X49" i="2"/>
  <c r="U49" i="2"/>
  <c r="V49" i="2" s="1"/>
  <c r="W49" i="2" s="1"/>
  <c r="AD49" i="2" s="1"/>
  <c r="AE49" i="2" s="1"/>
  <c r="X70" i="2"/>
  <c r="U70" i="2"/>
  <c r="V39" i="2"/>
  <c r="W39" i="2" s="1"/>
  <c r="AD39" i="2" s="1"/>
  <c r="AE39" i="2" s="1"/>
  <c r="V41" i="2"/>
  <c r="W41" i="2" s="1"/>
  <c r="AD41" i="2" s="1"/>
  <c r="AE41" i="2" s="1"/>
  <c r="V22" i="2"/>
  <c r="W22" i="2" s="1"/>
  <c r="AD22" i="2" s="1"/>
  <c r="AE22" i="2" s="1"/>
  <c r="V80" i="2"/>
  <c r="W80" i="2" s="1"/>
  <c r="AD80" i="2" s="1"/>
  <c r="AE80" i="2" s="1"/>
  <c r="V61" i="2"/>
  <c r="W61" i="2" s="1"/>
  <c r="V25" i="2"/>
  <c r="W25" i="2" s="1"/>
  <c r="AD25" i="2" s="1"/>
  <c r="AE25" i="2" s="1"/>
  <c r="V65" i="2"/>
  <c r="W65" i="2" s="1"/>
  <c r="AD65" i="2" s="1"/>
  <c r="AE65" i="2" s="1"/>
  <c r="V64" i="2"/>
  <c r="W64" i="2" s="1"/>
  <c r="V10" i="2"/>
  <c r="W10" i="2" s="1"/>
  <c r="AD10" i="2" s="1"/>
  <c r="AE10" i="2" s="1"/>
  <c r="V9" i="2"/>
  <c r="W9" i="2" s="1"/>
  <c r="AD9" i="2" s="1"/>
  <c r="AE9" i="2" s="1"/>
  <c r="V62" i="2"/>
  <c r="W62" i="2" s="1"/>
  <c r="V54" i="2"/>
  <c r="W54" i="2" s="1"/>
  <c r="AD54" i="2" s="1"/>
  <c r="AE54" i="2" s="1"/>
  <c r="V50" i="2"/>
  <c r="W50" i="2" s="1"/>
  <c r="AD50" i="2" s="1"/>
  <c r="AE50" i="2" s="1"/>
  <c r="AC36" i="1"/>
  <c r="AE36" i="1" s="1"/>
  <c r="AC28" i="1"/>
  <c r="AE28" i="1" s="1"/>
  <c r="AC20" i="1"/>
  <c r="AE20" i="1" s="1"/>
  <c r="AC105" i="1"/>
  <c r="AE105" i="1" s="1"/>
  <c r="AC108" i="1"/>
  <c r="AE108" i="1" s="1"/>
  <c r="T112" i="1"/>
  <c r="AC35" i="1"/>
  <c r="AE35" i="1" s="1"/>
  <c r="AC27" i="1"/>
  <c r="AE27" i="1" s="1"/>
  <c r="AC19" i="1"/>
  <c r="AE19" i="1" s="1"/>
  <c r="AC6" i="1"/>
  <c r="AE6" i="1" s="1"/>
  <c r="AC21" i="1"/>
  <c r="AE21" i="1" s="1"/>
  <c r="AC30" i="1"/>
  <c r="AE30" i="1" s="1"/>
  <c r="AC22" i="1"/>
  <c r="AE22" i="1" s="1"/>
  <c r="AC17" i="1"/>
  <c r="AE17" i="1" s="1"/>
  <c r="W112" i="1"/>
  <c r="U112" i="1"/>
  <c r="V5" i="1"/>
  <c r="AC32" i="1"/>
  <c r="AE32" i="1" s="1"/>
  <c r="AC24" i="1"/>
  <c r="AE24" i="1" s="1"/>
  <c r="AC16" i="1"/>
  <c r="AE16" i="1" s="1"/>
  <c r="AC13" i="1"/>
  <c r="AE13" i="1" s="1"/>
  <c r="AC110" i="1"/>
  <c r="AE110" i="1" s="1"/>
  <c r="AC31" i="1"/>
  <c r="AE31" i="1" s="1"/>
  <c r="AC23" i="1"/>
  <c r="AE23" i="1" s="1"/>
  <c r="AC15" i="1"/>
  <c r="AE15" i="1" s="1"/>
  <c r="AC33" i="1"/>
  <c r="AE33" i="1" s="1"/>
  <c r="AC10" i="1"/>
  <c r="AE10" i="1" s="1"/>
  <c r="AC34" i="1"/>
  <c r="AE34" i="1" s="1"/>
  <c r="AC18" i="1"/>
  <c r="AE18" i="1" s="1"/>
  <c r="AC25" i="1"/>
  <c r="AE25" i="1" s="1"/>
  <c r="BP56" i="4" l="1"/>
  <c r="AE56" i="4"/>
  <c r="BP5" i="4"/>
  <c r="J111" i="3"/>
  <c r="L5" i="3"/>
  <c r="AD64" i="2"/>
  <c r="AE64" i="2" s="1"/>
  <c r="AD40" i="2"/>
  <c r="AE40" i="2" s="1"/>
  <c r="AD30" i="2"/>
  <c r="AE30" i="2" s="1"/>
  <c r="U85" i="2"/>
  <c r="AD72" i="2"/>
  <c r="AE72" i="2" s="1"/>
  <c r="K85" i="2"/>
  <c r="V5" i="2"/>
  <c r="AD77" i="2"/>
  <c r="AE77" i="2" s="1"/>
  <c r="AD62" i="2"/>
  <c r="AE62" i="2" s="1"/>
  <c r="AD61" i="2"/>
  <c r="AE61" i="2" s="1"/>
  <c r="AD60" i="2"/>
  <c r="AE60" i="2" s="1"/>
  <c r="AD67" i="2"/>
  <c r="AE67" i="2" s="1"/>
  <c r="AD17" i="2"/>
  <c r="AE17" i="2" s="1"/>
  <c r="AD56" i="2"/>
  <c r="AE56" i="2" s="1"/>
  <c r="V112" i="1"/>
  <c r="V118" i="1" s="1"/>
  <c r="W118" i="1" s="1"/>
  <c r="AA118" i="1" s="1"/>
  <c r="AB118" i="1" s="1"/>
  <c r="AC5" i="1"/>
  <c r="V85" i="2" l="1"/>
  <c r="W5" i="2"/>
  <c r="AC112" i="1"/>
  <c r="AE5" i="1"/>
  <c r="W85" i="2" l="1"/>
  <c r="W90" i="2" s="1"/>
  <c r="X90" i="2" s="1"/>
  <c r="AB90" i="2" s="1"/>
  <c r="AC90" i="2" s="1"/>
  <c r="AD5" i="2"/>
  <c r="AD85" i="2" l="1"/>
  <c r="AE5" i="2"/>
</calcChain>
</file>

<file path=xl/comments1.xml><?xml version="1.0" encoding="utf-8"?>
<comments xmlns="http://schemas.openxmlformats.org/spreadsheetml/2006/main">
  <authors>
    <author>Jesús Miguel Ortíz Jiménez</author>
  </authors>
  <commentList>
    <comment ref="Y4" authorId="0" shapeId="0">
      <text>
        <r>
          <rPr>
            <b/>
            <sz val="9"/>
            <color indexed="81"/>
            <rFont val="Tahoma"/>
            <family val="2"/>
          </rPr>
          <t>Jesús Miguel Ortíz Jiménez:</t>
        </r>
        <r>
          <rPr>
            <sz val="9"/>
            <color indexed="81"/>
            <rFont val="Tahoma"/>
            <family val="2"/>
          </rPr>
          <t xml:space="preserve">
Actualización de la LCF</t>
        </r>
      </text>
    </comment>
  </commentList>
</comments>
</file>

<file path=xl/sharedStrings.xml><?xml version="1.0" encoding="utf-8"?>
<sst xmlns="http://schemas.openxmlformats.org/spreadsheetml/2006/main" count="1388" uniqueCount="525">
  <si>
    <t>DESARROLLO DE FACTOR DE DISTRIBUCIÓN  (TABLA  I) PERÍODO JULIO 2022 - JUNIO 2023</t>
  </si>
  <si>
    <t>Fracción I:</t>
  </si>
  <si>
    <t>R1i (2019)</t>
  </si>
  <si>
    <t>R1i (2020)</t>
  </si>
  <si>
    <t>R1i (2021)</t>
  </si>
  <si>
    <t>Fracción II</t>
  </si>
  <si>
    <t>Fracción III: R1i (2021)</t>
  </si>
  <si>
    <t>Fracción V</t>
  </si>
  <si>
    <t>Fracción VI</t>
  </si>
  <si>
    <t>Suma de los Factores</t>
  </si>
  <si>
    <t>#</t>
  </si>
  <si>
    <t>Municipios</t>
  </si>
  <si>
    <t>Población
(a)</t>
  </si>
  <si>
    <t>Razón directa
(a)/Ʃ (a)</t>
  </si>
  <si>
    <t>Población 64.0%
(a)/Ʃ (a) * (64%)</t>
  </si>
  <si>
    <t>Impuesto Predial
(b)</t>
  </si>
  <si>
    <t>Derechos de Agua
(c)</t>
  </si>
  <si>
    <t>2019
(b)+(c)=(d)</t>
  </si>
  <si>
    <t>RAZÓN DIRECTA
(d)/Ʃ (d)</t>
  </si>
  <si>
    <t xml:space="preserve"> IERi (2019):
(d)/Ʃ (d) * (33%)</t>
  </si>
  <si>
    <t>2020
(b)+(c)=(d)</t>
  </si>
  <si>
    <t xml:space="preserve"> IERi (2020):
(d)/Ʃ (d) * (33%)</t>
  </si>
  <si>
    <t>2021
(b)+(c)=(d)</t>
  </si>
  <si>
    <t xml:space="preserve"> IERi (2020):
(d)/Ʃ (d) * (34%)</t>
  </si>
  <si>
    <t xml:space="preserve"> IERi:
(2019)+(2020)+(2021)</t>
  </si>
  <si>
    <t xml:space="preserve"> (IERi)*(4.5%)</t>
  </si>
  <si>
    <t xml:space="preserve"> IERi (2021) * (2.0%)</t>
  </si>
  <si>
    <t>Marginación CONAPO
(Mi)</t>
  </si>
  <si>
    <t>Suma
(a*9.261-0.1456*Mi)</t>
  </si>
  <si>
    <t>Razón directa
IMMi/Ʃ IMMi</t>
  </si>
  <si>
    <t>(IMMi/Ʃ IMMi)* 2.5%</t>
  </si>
  <si>
    <t>Partes Iguales 
0.27/106</t>
  </si>
  <si>
    <t xml:space="preserve">ABALA </t>
  </si>
  <si>
    <t xml:space="preserve">ACANCEH </t>
  </si>
  <si>
    <t xml:space="preserve">AKIL </t>
  </si>
  <si>
    <t xml:space="preserve">BACA </t>
  </si>
  <si>
    <t xml:space="preserve">BOKOBA </t>
  </si>
  <si>
    <t xml:space="preserve">BUCTZOTZ </t>
  </si>
  <si>
    <t xml:space="preserve">CACALCHEN </t>
  </si>
  <si>
    <t xml:space="preserve">CALOTMUL </t>
  </si>
  <si>
    <t xml:space="preserve">CANSAHCAB </t>
  </si>
  <si>
    <t xml:space="preserve">CANTAMAYEC </t>
  </si>
  <si>
    <t xml:space="preserve">CELESTUN </t>
  </si>
  <si>
    <t xml:space="preserve">CENOTILLO </t>
  </si>
  <si>
    <t xml:space="preserve">CONKAL </t>
  </si>
  <si>
    <t xml:space="preserve">CUNCUNUL </t>
  </si>
  <si>
    <t xml:space="preserve">CUZAMA </t>
  </si>
  <si>
    <t xml:space="preserve">CHACSINKIN </t>
  </si>
  <si>
    <t xml:space="preserve">CHANKOM </t>
  </si>
  <si>
    <t>CHAPAB</t>
  </si>
  <si>
    <t xml:space="preserve">CHEMAX </t>
  </si>
  <si>
    <t xml:space="preserve">CHICXULUB PUEBLO </t>
  </si>
  <si>
    <t xml:space="preserve">CHICHIMILA </t>
  </si>
  <si>
    <t xml:space="preserve">CHIKINDZONOT </t>
  </si>
  <si>
    <t xml:space="preserve">CHOCHOLA </t>
  </si>
  <si>
    <t xml:space="preserve">CHUMAYEL </t>
  </si>
  <si>
    <t xml:space="preserve">DZAN </t>
  </si>
  <si>
    <t xml:space="preserve">DZEMUL </t>
  </si>
  <si>
    <t xml:space="preserve">DZIDZANTUN </t>
  </si>
  <si>
    <t xml:space="preserve">DZILAM DE BRAVO </t>
  </si>
  <si>
    <t xml:space="preserve">DZILAM GONZALEZ </t>
  </si>
  <si>
    <t xml:space="preserve">DZITAS </t>
  </si>
  <si>
    <t xml:space="preserve">DZONCAUICH </t>
  </si>
  <si>
    <t xml:space="preserve">ESPITA </t>
  </si>
  <si>
    <t xml:space="preserve">HALACHO </t>
  </si>
  <si>
    <t xml:space="preserve">HOCABA </t>
  </si>
  <si>
    <t xml:space="preserve">HOCTUN </t>
  </si>
  <si>
    <t xml:space="preserve">HOMUN </t>
  </si>
  <si>
    <t xml:space="preserve">HUHI </t>
  </si>
  <si>
    <t xml:space="preserve">HUNUCMA </t>
  </si>
  <si>
    <t xml:space="preserve">IXIL </t>
  </si>
  <si>
    <t xml:space="preserve">IZAMAL </t>
  </si>
  <si>
    <t xml:space="preserve">KANASIN </t>
  </si>
  <si>
    <t xml:space="preserve">KANTUNIL </t>
  </si>
  <si>
    <t xml:space="preserve">KAUA </t>
  </si>
  <si>
    <t xml:space="preserve">KINCHIL </t>
  </si>
  <si>
    <t xml:space="preserve">KOPOMA </t>
  </si>
  <si>
    <t xml:space="preserve">MAMA </t>
  </si>
  <si>
    <t xml:space="preserve">MANI </t>
  </si>
  <si>
    <t xml:space="preserve">MAXCANU </t>
  </si>
  <si>
    <t xml:space="preserve">MAYAPAN </t>
  </si>
  <si>
    <t xml:space="preserve">MERIDA </t>
  </si>
  <si>
    <t xml:space="preserve">MOCOCHA </t>
  </si>
  <si>
    <t xml:space="preserve">MOTUL </t>
  </si>
  <si>
    <t xml:space="preserve">MUNA </t>
  </si>
  <si>
    <t xml:space="preserve">MUXUPIP </t>
  </si>
  <si>
    <t xml:space="preserve">OPICHEN </t>
  </si>
  <si>
    <t xml:space="preserve">OXKUTZCAB </t>
  </si>
  <si>
    <t xml:space="preserve">PANABA </t>
  </si>
  <si>
    <t xml:space="preserve">PETO </t>
  </si>
  <si>
    <t xml:space="preserve">PROGRESO </t>
  </si>
  <si>
    <t xml:space="preserve">QUINTANA ROO </t>
  </si>
  <si>
    <t xml:space="preserve">RIO LAGARTOS </t>
  </si>
  <si>
    <t xml:space="preserve">SACALUM </t>
  </si>
  <si>
    <t xml:space="preserve">SAMAHIL </t>
  </si>
  <si>
    <t xml:space="preserve">SANAHCAT </t>
  </si>
  <si>
    <t xml:space="preserve">SAN FELIPE </t>
  </si>
  <si>
    <t xml:space="preserve">SANTA ELENA </t>
  </si>
  <si>
    <t xml:space="preserve">SEYE </t>
  </si>
  <si>
    <t xml:space="preserve">SINANCHE </t>
  </si>
  <si>
    <t xml:space="preserve">SOTUTA </t>
  </si>
  <si>
    <t xml:space="preserve">SUCILA </t>
  </si>
  <si>
    <t xml:space="preserve">SUDZAL </t>
  </si>
  <si>
    <t xml:space="preserve">SUMA </t>
  </si>
  <si>
    <t xml:space="preserve">TAHDZIU </t>
  </si>
  <si>
    <t xml:space="preserve">TAHMEK </t>
  </si>
  <si>
    <t xml:space="preserve">TEABO </t>
  </si>
  <si>
    <t xml:space="preserve">TECOH </t>
  </si>
  <si>
    <t xml:space="preserve">TEKAL DE VENEGAS </t>
  </si>
  <si>
    <t xml:space="preserve">TEKANTO </t>
  </si>
  <si>
    <t xml:space="preserve">TEKAX </t>
  </si>
  <si>
    <t xml:space="preserve">TEKIT </t>
  </si>
  <si>
    <t xml:space="preserve">TEKOM </t>
  </si>
  <si>
    <t xml:space="preserve">TELCHAC PUEBLO </t>
  </si>
  <si>
    <t xml:space="preserve">TELCHAC PUERTO   </t>
  </si>
  <si>
    <t xml:space="preserve">TEMAX </t>
  </si>
  <si>
    <t xml:space="preserve">TEMOZON </t>
  </si>
  <si>
    <t xml:space="preserve">TEPAKAN </t>
  </si>
  <si>
    <t xml:space="preserve">TETIZ </t>
  </si>
  <si>
    <t xml:space="preserve">TEYA </t>
  </si>
  <si>
    <t xml:space="preserve">TICUL </t>
  </si>
  <si>
    <t xml:space="preserve">TIMUCUY </t>
  </si>
  <si>
    <t xml:space="preserve">TINUM </t>
  </si>
  <si>
    <t xml:space="preserve">TIXCACALCUPUL </t>
  </si>
  <si>
    <t xml:space="preserve">TIXKOKOB </t>
  </si>
  <si>
    <t xml:space="preserve">TIXMEUAC </t>
  </si>
  <si>
    <t xml:space="preserve">TIXPEUAL </t>
  </si>
  <si>
    <t xml:space="preserve">TIZIMIN </t>
  </si>
  <si>
    <t xml:space="preserve">TUNKAS </t>
  </si>
  <si>
    <t xml:space="preserve">TZUCACAB </t>
  </si>
  <si>
    <t xml:space="preserve">UAYMA </t>
  </si>
  <si>
    <t xml:space="preserve">UCU </t>
  </si>
  <si>
    <t xml:space="preserve">UMAN </t>
  </si>
  <si>
    <t xml:space="preserve">VALLADOLID </t>
  </si>
  <si>
    <t xml:space="preserve">XOCCHEL </t>
  </si>
  <si>
    <t xml:space="preserve">YAXCABA </t>
  </si>
  <si>
    <t xml:space="preserve">YAXKUKUL </t>
  </si>
  <si>
    <t xml:space="preserve">YOBAIN </t>
  </si>
  <si>
    <t>Totales</t>
  </si>
  <si>
    <r>
      <rPr>
        <b/>
        <sz val="11"/>
        <color indexed="8"/>
        <rFont val="Arial"/>
        <family val="2"/>
      </rPr>
      <t>Fuente</t>
    </r>
    <r>
      <rPr>
        <sz val="11"/>
        <color indexed="8"/>
        <rFont val="Arial"/>
        <family val="2"/>
      </rPr>
      <t>: La población municipal se tomó del censo 2020 del INEGI.</t>
    </r>
  </si>
  <si>
    <t>Los valores de Marginación (indice-de-marginacion-carencias-poblacionales-por-localidad-municipio-y-entidad), corresponden a los publicados por CONAPO en 2021</t>
  </si>
  <si>
    <t>Asi mismo se considera la Recaudación del Impuesto Predial y Derechos de Agua 2021</t>
  </si>
  <si>
    <t>Ley de Coordinación Fiscal Estatal Actualizada enero 2022</t>
  </si>
  <si>
    <t>https://datos.gob.mx/busca/dataset/indice-de-marginacion-carencias-poblacionales-por-localidad-municipio-y-entidad</t>
  </si>
  <si>
    <t>https://datos.gob.mx/busca/dataset/indice-de-marginacion-carencias-poblacionales-por-localidad-municipio-y-entidad/resource/cff48701-3f54-46b8-8608-a3c4af696b3c</t>
  </si>
  <si>
    <t>DESARROLLO DE FACTOR DE DISTRIBUCIÓN  FOMUN 30%  (TABLA II) PERÍODO JULIO 2022 - JUNIO 2023</t>
  </si>
  <si>
    <t xml:space="preserve"> IERi (2021):
(d)/Ʃ (d) * (34%)</t>
  </si>
  <si>
    <t>Partes Iguales 
0.27/80</t>
  </si>
  <si>
    <t>003 AKIL</t>
  </si>
  <si>
    <t>@</t>
  </si>
  <si>
    <t>((((</t>
  </si>
  <si>
    <t>+</t>
  </si>
  <si>
    <t>2.44852)*</t>
  </si>
  <si>
    <t>/65540751.1074742)))</t>
  </si>
  <si>
    <t>005 BOKOBA</t>
  </si>
  <si>
    <t>006 BUCTZOTZ</t>
  </si>
  <si>
    <t>007 CACALCHEN</t>
  </si>
  <si>
    <t>008 CALOTMUL</t>
  </si>
  <si>
    <t>009 CANSAHCAB</t>
  </si>
  <si>
    <t>010 CANTAMAYEC</t>
  </si>
  <si>
    <t>011 CELESTUN</t>
  </si>
  <si>
    <t>013 CONKAL</t>
  </si>
  <si>
    <t>015 CUZAMA</t>
  </si>
  <si>
    <t>016 CHACSINKIN</t>
  </si>
  <si>
    <t>017 CHANKOM</t>
  </si>
  <si>
    <t>018 CHAPAB</t>
  </si>
  <si>
    <t>019 CHEMAX</t>
  </si>
  <si>
    <t>020 CHICXULUB PUEBLO</t>
  </si>
  <si>
    <t>021 CHICHIMILA</t>
  </si>
  <si>
    <t>023 CHOCHOLA</t>
  </si>
  <si>
    <t>024 CHUMAYEL</t>
  </si>
  <si>
    <t>025 DZAN</t>
  </si>
  <si>
    <t>026 DZEMUL</t>
  </si>
  <si>
    <t>027 DZIDZANTUN</t>
  </si>
  <si>
    <t>028 DZILAM DE BRAVO</t>
  </si>
  <si>
    <t>029 DZILAM GONZALEZ</t>
  </si>
  <si>
    <t>030 DZITAS</t>
  </si>
  <si>
    <t>031 DZONCAUICH</t>
  </si>
  <si>
    <t>032 ESPITA</t>
  </si>
  <si>
    <t>033 HALACHO</t>
  </si>
  <si>
    <t>034 HOCABA</t>
  </si>
  <si>
    <t>036 HOMUN</t>
  </si>
  <si>
    <t>038 HUNUCMA</t>
  </si>
  <si>
    <t>039 IXIL</t>
  </si>
  <si>
    <t>040 IZAMAL</t>
  </si>
  <si>
    <t>041 KANASIN</t>
  </si>
  <si>
    <t>042 KANTUNIL</t>
  </si>
  <si>
    <t>044 KINCHIL</t>
  </si>
  <si>
    <t>045 KOPOMA</t>
  </si>
  <si>
    <t>047 MANI</t>
  </si>
  <si>
    <t>048 MAXCANU</t>
  </si>
  <si>
    <t>049 MAYAPAN</t>
  </si>
  <si>
    <t>052 MOTUL</t>
  </si>
  <si>
    <t>053 MUNA</t>
  </si>
  <si>
    <t>054 MUXUPIP</t>
  </si>
  <si>
    <t>057 PANABA</t>
  </si>
  <si>
    <t>058 PETO</t>
  </si>
  <si>
    <t>059 PROGRESO</t>
  </si>
  <si>
    <t>060 QUINTANA ROO</t>
  </si>
  <si>
    <t>062 SACALUM</t>
  </si>
  <si>
    <t>063 SAMAHIL</t>
  </si>
  <si>
    <t>064 SANAHCAT</t>
  </si>
  <si>
    <t>066 SANTA ELENA</t>
  </si>
  <si>
    <t>069 SOTUTA</t>
  </si>
  <si>
    <t>070 SUCILA</t>
  </si>
  <si>
    <t>071 SUDZAL</t>
  </si>
  <si>
    <t>072 SUMA</t>
  </si>
  <si>
    <t>073 TAHDZIU</t>
  </si>
  <si>
    <t>075 TEABO</t>
  </si>
  <si>
    <t>076 TECOH</t>
  </si>
  <si>
    <t>078 TEKANTO</t>
  </si>
  <si>
    <t>079 TEKAX</t>
  </si>
  <si>
    <t>080 TEKIT</t>
  </si>
  <si>
    <t>081 TEKOM</t>
  </si>
  <si>
    <t>082 TELCHAC PUEBLO</t>
  </si>
  <si>
    <t>084 TEMAX</t>
  </si>
  <si>
    <t>085 TEMOZON</t>
  </si>
  <si>
    <t>086 TEPAKAN</t>
  </si>
  <si>
    <t>087 TETIZ</t>
  </si>
  <si>
    <t>088 TEYA</t>
  </si>
  <si>
    <t>089 TICUL</t>
  </si>
  <si>
    <t>090 TIMUCUY</t>
  </si>
  <si>
    <t>092 TIXCACALCUPUL</t>
  </si>
  <si>
    <t>095 TIXPEUAL</t>
  </si>
  <si>
    <t>096 TIZIMIN</t>
  </si>
  <si>
    <t>097 TUNKAS</t>
  </si>
  <si>
    <t>098 TZUCACAB</t>
  </si>
  <si>
    <t>099 UAYMA</t>
  </si>
  <si>
    <t>101 UMAN</t>
  </si>
  <si>
    <t>102 VALLADOLID</t>
  </si>
  <si>
    <t>103 XOCCHEL</t>
  </si>
  <si>
    <t>104 YAXCABA</t>
  </si>
  <si>
    <t>106 YOBAIN</t>
  </si>
  <si>
    <t>DESARROLLO DEL FACTOR DE DISTRIBUCIÓN  (TABLA III) PERÍODO JULIO 2022 - JUNIO 2023</t>
  </si>
  <si>
    <t>Fracción I.</t>
  </si>
  <si>
    <t>Fracción II.</t>
  </si>
  <si>
    <t>MUNICIPIOS</t>
  </si>
  <si>
    <t>Población 70.0%</t>
  </si>
  <si>
    <t xml:space="preserve">índice de Masa de Marginación
30.0%  </t>
  </si>
  <si>
    <t>Factor de distribución</t>
  </si>
  <si>
    <t>ABALA, YUC.</t>
  </si>
  <si>
    <t>ACANCEH, YUC.</t>
  </si>
  <si>
    <t>AKIL, YUC.</t>
  </si>
  <si>
    <t>BACA, YUC.</t>
  </si>
  <si>
    <t>BOKOBA, YUC.</t>
  </si>
  <si>
    <t>BUCTZOTZ, YUC.</t>
  </si>
  <si>
    <t>CACALCHEN, YUC.</t>
  </si>
  <si>
    <t>CALOTMUL, YUC.</t>
  </si>
  <si>
    <t>CANSAHCAB, YUC.</t>
  </si>
  <si>
    <t>CANTAMAYEC, YUC.</t>
  </si>
  <si>
    <t>CELESTUN, YUC.</t>
  </si>
  <si>
    <t>CENOTILLO, YUC.</t>
  </si>
  <si>
    <t>CONKAL, YUC.</t>
  </si>
  <si>
    <t>CUNCUNUL, YUC.</t>
  </si>
  <si>
    <t>CUZAMA, YUC.</t>
  </si>
  <si>
    <t>CHACSINKIN, YUC.</t>
  </si>
  <si>
    <t>CHANKOM, YUC.</t>
  </si>
  <si>
    <t>CHAPAB,YUC.</t>
  </si>
  <si>
    <t>CHEMAX, YUC.</t>
  </si>
  <si>
    <t>CHICXULUB PUEBLO, YUC.</t>
  </si>
  <si>
    <t>CHICHIMILA, YUC.</t>
  </si>
  <si>
    <t>CHIKINDZONOT, YUC.</t>
  </si>
  <si>
    <t>CHOCHOLA, YUC.</t>
  </si>
  <si>
    <t>CHUMAYEL, YUC.</t>
  </si>
  <si>
    <t>DZAN, YUC.</t>
  </si>
  <si>
    <t>DZEMUL, YUC.</t>
  </si>
  <si>
    <t>DZIDZANTUN, YUC.</t>
  </si>
  <si>
    <t>DZILAM DE BRAVO, YUC.</t>
  </si>
  <si>
    <t>DZILAM GONZALEZ, YUC.</t>
  </si>
  <si>
    <t>DZITAS, YUC.</t>
  </si>
  <si>
    <t>DZONCAUICH, YUC.</t>
  </si>
  <si>
    <t>ESPITA, YUC.</t>
  </si>
  <si>
    <t>HALACHO, YUC.</t>
  </si>
  <si>
    <t>HOCABA, YUC.</t>
  </si>
  <si>
    <t>HOCTUN, YUC.</t>
  </si>
  <si>
    <t>HOMUN, YUC.</t>
  </si>
  <si>
    <t>HUHI, YUC.</t>
  </si>
  <si>
    <t>HUNUCMA, YUC.</t>
  </si>
  <si>
    <t>IXIL, YUC.</t>
  </si>
  <si>
    <t>IZAMAL, YUC.</t>
  </si>
  <si>
    <t>KANASIN, YUC.</t>
  </si>
  <si>
    <t>KANTUNIL, YUC.</t>
  </si>
  <si>
    <t>KAUA, YUC.</t>
  </si>
  <si>
    <t>KINCHIL, YUC.</t>
  </si>
  <si>
    <t>KOPOMA, YUC.</t>
  </si>
  <si>
    <t>MAMA, YUC.</t>
  </si>
  <si>
    <t>MANI, YUC.</t>
  </si>
  <si>
    <t>MAXCANU, YUC.</t>
  </si>
  <si>
    <t>MAYAPAN, YUC.</t>
  </si>
  <si>
    <t>MERIDA, YUC.</t>
  </si>
  <si>
    <t>MOCOCHA, YUC.</t>
  </si>
  <si>
    <t>MOTUL, YUC.</t>
  </si>
  <si>
    <t>MUNA, YUC.</t>
  </si>
  <si>
    <t>MUXUPIP, YUC.</t>
  </si>
  <si>
    <t>OPICHEN, YUC.</t>
  </si>
  <si>
    <t>OXKUTZCAB, YUC.</t>
  </si>
  <si>
    <t>PANABA, YUC.</t>
  </si>
  <si>
    <t>PETO, YUC.</t>
  </si>
  <si>
    <t>PROGRESO, YUC.</t>
  </si>
  <si>
    <t>QUINTANA ROO, YUC.</t>
  </si>
  <si>
    <t>RIO LAGARTOS, YUC.</t>
  </si>
  <si>
    <t>SACALUM, YUC.</t>
  </si>
  <si>
    <t>SAMAHIL, YUC.</t>
  </si>
  <si>
    <t>SANAHCAT, YUC.</t>
  </si>
  <si>
    <t>SAN FELIPE, YUC.</t>
  </si>
  <si>
    <t>SANTA ELENA, YUC.</t>
  </si>
  <si>
    <t>SEYE, YUC.</t>
  </si>
  <si>
    <t>SINANCHE, YUC.</t>
  </si>
  <si>
    <t>SOTUTA, YUC.</t>
  </si>
  <si>
    <t>SUCILA, YUC.</t>
  </si>
  <si>
    <t>SUDZAL, YUC.</t>
  </si>
  <si>
    <t>SUMA, YUC.</t>
  </si>
  <si>
    <t>TAHDZIU, YUC.</t>
  </si>
  <si>
    <t>TAHMEK, YUC.</t>
  </si>
  <si>
    <t>TEABO, YUC.</t>
  </si>
  <si>
    <t>TECOH, YUC.</t>
  </si>
  <si>
    <t>TEKAL DE VENEGAS, YUC.</t>
  </si>
  <si>
    <t>TEKANTO, YUC.</t>
  </si>
  <si>
    <t>TEKAX, YUC.</t>
  </si>
  <si>
    <t>TEKIT, YUC.</t>
  </si>
  <si>
    <t>TEKOM, YUC.</t>
  </si>
  <si>
    <t>TELCHAC PUEBLO, YUC.</t>
  </si>
  <si>
    <t xml:space="preserve">TELCHAC PUERTO, YUC.  </t>
  </si>
  <si>
    <t>TEMAX, YUC.</t>
  </si>
  <si>
    <t>TEMOZON, YUC.</t>
  </si>
  <si>
    <t>TEPAKAN, YUC.</t>
  </si>
  <si>
    <t>TETIZ, YUC.</t>
  </si>
  <si>
    <t>TEYA, YUC.</t>
  </si>
  <si>
    <t>TICUL, YUC.</t>
  </si>
  <si>
    <t>TIMUCUY, YUC.</t>
  </si>
  <si>
    <t>TINUM, YUC.</t>
  </si>
  <si>
    <t>TIXCACALCUPUL, YUC.</t>
  </si>
  <si>
    <t>TIXKOKOB, YUC.</t>
  </si>
  <si>
    <t>TIXMEUAC, YUC.</t>
  </si>
  <si>
    <t>TIXPEUAL, YUC.</t>
  </si>
  <si>
    <t>TIZIMIN, YUC.</t>
  </si>
  <si>
    <t>TUNKAS, YUC.</t>
  </si>
  <si>
    <t>TZUCACAB, YUC.</t>
  </si>
  <si>
    <t>UAYMA, YUC.</t>
  </si>
  <si>
    <t>UCU, YUC.</t>
  </si>
  <si>
    <t>UMAN, YUC.</t>
  </si>
  <si>
    <t>VALLADOLID, YUC.</t>
  </si>
  <si>
    <t>XOCCHEL, YUC.</t>
  </si>
  <si>
    <t>YAXCABA, YUC.</t>
  </si>
  <si>
    <t>YAXKUKUL, YUC.</t>
  </si>
  <si>
    <t>YOBAIN, YUC.</t>
  </si>
  <si>
    <t xml:space="preserve">TOTALES </t>
  </si>
  <si>
    <t>Anexo I</t>
  </si>
  <si>
    <t>Porcentajes y Montos Estimados de Participaciones Federales y Estatales, Correspondiente a los municipios para el Ejercicio Fiscal 2023</t>
  </si>
  <si>
    <t xml:space="preserve">Fondo General de </t>
  </si>
  <si>
    <t>Fondo de Fomento Municipal</t>
  </si>
  <si>
    <t>Impuesto Especial sobre</t>
  </si>
  <si>
    <t>Fondo de Fiscalización y</t>
  </si>
  <si>
    <t>Fondo de Compensación del</t>
  </si>
  <si>
    <t xml:space="preserve"> Impueto Sobre la Renta </t>
  </si>
  <si>
    <t>(Art.126) Impuesto Sobre Renta</t>
  </si>
  <si>
    <t>Impuesto sobre Automóviles Nuevos</t>
  </si>
  <si>
    <t>Impuesto estatales</t>
  </si>
  <si>
    <t>Impuesto Sobre la Venta de Bebidas Alchólicas</t>
  </si>
  <si>
    <t>Impuesto Especial sobre venta</t>
  </si>
  <si>
    <t>Participaciones</t>
  </si>
  <si>
    <t>Producción y Servicios</t>
  </si>
  <si>
    <t>Recaudación</t>
  </si>
  <si>
    <t>(Art. 3-B)</t>
  </si>
  <si>
    <t>por la Enajenacion de Bienes Inmuebles</t>
  </si>
  <si>
    <t xml:space="preserve"> Final de Gasolina y Diesel</t>
  </si>
  <si>
    <t xml:space="preserve">Clave de </t>
  </si>
  <si>
    <t>Clave y nombre de los</t>
  </si>
  <si>
    <t xml:space="preserve">TOTAL PARTICIPACIONES </t>
  </si>
  <si>
    <t xml:space="preserve"> la región</t>
  </si>
  <si>
    <t>lie</t>
  </si>
  <si>
    <t>diferencias</t>
  </si>
  <si>
    <t>municipios</t>
  </si>
  <si>
    <t>Porcentaje</t>
  </si>
  <si>
    <t>Monto (pesos)</t>
  </si>
  <si>
    <t>Etiquetas de fila</t>
  </si>
  <si>
    <t>FOGEN</t>
  </si>
  <si>
    <t>FOMUN</t>
  </si>
  <si>
    <t>IEPS</t>
  </si>
  <si>
    <t>FOFIR</t>
  </si>
  <si>
    <t>FOCO ISAN</t>
  </si>
  <si>
    <t>FONDO ISR</t>
  </si>
  <si>
    <t>ENAJENACIÓN DE BIENES INMUEBLES</t>
  </si>
  <si>
    <t>ISAN</t>
  </si>
  <si>
    <t>IMPUESTOS ESTATALES</t>
  </si>
  <si>
    <t>IMPUESTOS ESTATALES (BEBIDAS ALCOHOLICAS)</t>
  </si>
  <si>
    <t>IEPS GASOLINAS</t>
  </si>
  <si>
    <t>Total general</t>
  </si>
  <si>
    <t>001 ABALA, YUC.</t>
  </si>
  <si>
    <t>001 ABALA</t>
  </si>
  <si>
    <t>002 ACANCEH, YUC.</t>
  </si>
  <si>
    <t>NA</t>
  </si>
  <si>
    <t>002 ACANCEH</t>
  </si>
  <si>
    <t>003 AKIL, YUC.</t>
  </si>
  <si>
    <t>004 BACA, YUC.</t>
  </si>
  <si>
    <t>004 BACA</t>
  </si>
  <si>
    <t>005 BOKOBA, YUC.</t>
  </si>
  <si>
    <t>006 BUCTZOTZ, YUC.</t>
  </si>
  <si>
    <t>007 CACALCHEN, YUC.</t>
  </si>
  <si>
    <t>008 CALOTMUL, YUC.</t>
  </si>
  <si>
    <t>009 CANSAHCAB, YUC.</t>
  </si>
  <si>
    <t>010 CANTAMAYEC, YUC.</t>
  </si>
  <si>
    <t>011 CELESTUN, YUC.</t>
  </si>
  <si>
    <t>012 CENOTILLO, YUC.</t>
  </si>
  <si>
    <t>012 CENOTILLO</t>
  </si>
  <si>
    <t>013 CONKAL, YUC.</t>
  </si>
  <si>
    <t>014 CUNCUNUL, YUC.</t>
  </si>
  <si>
    <t>014 CUNCUNUL</t>
  </si>
  <si>
    <t>015 CUZAMA, YUC.</t>
  </si>
  <si>
    <t>016 CHACSINKIN, YUC.</t>
  </si>
  <si>
    <t>017 CHANKOM, YUC.</t>
  </si>
  <si>
    <t>018 CHAPAB,YUC.</t>
  </si>
  <si>
    <t>019 CHEMAX, YUC.</t>
  </si>
  <si>
    <t>020 CHICXULUB PUEBLO, YUC.</t>
  </si>
  <si>
    <t>021 CHICHIMILA, YUC.</t>
  </si>
  <si>
    <t>022 CHIKINDZONOT, YUC.</t>
  </si>
  <si>
    <t>022 CHIKINDZONOT</t>
  </si>
  <si>
    <t>023 CHOCHOLA, YUC.</t>
  </si>
  <si>
    <t>024 CHUMAYEL, YUC.</t>
  </si>
  <si>
    <t>025 DZAN, YUC.</t>
  </si>
  <si>
    <t>026 DZEMUL, YUC.</t>
  </si>
  <si>
    <t>027 DZIDZANTUN, YUC.</t>
  </si>
  <si>
    <t>028 DZILAM DE BRAVO, YUC.</t>
  </si>
  <si>
    <t>029 DZILAM GONZALEZ, YUC.</t>
  </si>
  <si>
    <t>030 DZITAS, YUC.</t>
  </si>
  <si>
    <t>031 DZONCAUICH, YUC.</t>
  </si>
  <si>
    <t>032 ESPITA, YUC.</t>
  </si>
  <si>
    <t>033 HALACHO, YUC.</t>
  </si>
  <si>
    <t>034 HOCABA, YUC.</t>
  </si>
  <si>
    <t>035 HOCTUN, YUC.</t>
  </si>
  <si>
    <t>035 HOCTUN</t>
  </si>
  <si>
    <t>036 HOMUN, YUC.</t>
  </si>
  <si>
    <t>037 HUHI, YUC.</t>
  </si>
  <si>
    <t>037 HUHI</t>
  </si>
  <si>
    <t>038 HUNUCMA, YUC.</t>
  </si>
  <si>
    <t>039 IXIL, YUC.</t>
  </si>
  <si>
    <t>040 IZAMAL, YUC.</t>
  </si>
  <si>
    <t>041 KANASIN, YUC.</t>
  </si>
  <si>
    <t>042 KANTUNIL, YUC.</t>
  </si>
  <si>
    <t>043 KAUA, YUC.</t>
  </si>
  <si>
    <t>043 KAUA</t>
  </si>
  <si>
    <t>044 KINCHIL, YUC.</t>
  </si>
  <si>
    <t>045 KOPOMA, YUC.</t>
  </si>
  <si>
    <t>046 MAMA, YUC.</t>
  </si>
  <si>
    <t>046 MAMA</t>
  </si>
  <si>
    <t>047 MANI, YUC.</t>
  </si>
  <si>
    <t>048 MAXCANU, YUC.</t>
  </si>
  <si>
    <t>049 MAYAPAN, YUC.</t>
  </si>
  <si>
    <t>050 MERIDA, YUC.</t>
  </si>
  <si>
    <t>050 MERIDA</t>
  </si>
  <si>
    <t>051 MOCOCHA, YUC.</t>
  </si>
  <si>
    <t>051 MOCOCHA</t>
  </si>
  <si>
    <t>052 MOTUL, YUC.</t>
  </si>
  <si>
    <t>053 MUNA, YUC.</t>
  </si>
  <si>
    <t>054 MUXUPIP, YUC.</t>
  </si>
  <si>
    <t>055 OPICHEN, YUC.</t>
  </si>
  <si>
    <t>055 OPICHEN</t>
  </si>
  <si>
    <t>056 OXKUTZCAB, YUC.</t>
  </si>
  <si>
    <t>056 OXKUTZCAB</t>
  </si>
  <si>
    <t>057 PANABA, YUC.</t>
  </si>
  <si>
    <t>058 PETO, YUC.</t>
  </si>
  <si>
    <t>059 PROGRESO, YUC.</t>
  </si>
  <si>
    <t>060 QUINTANA ROO, YUC.</t>
  </si>
  <si>
    <t>061 RIO LAGARTOS, YUC.</t>
  </si>
  <si>
    <t>061 RIO LAGARTOS</t>
  </si>
  <si>
    <t>062 SACALUM, YUC.</t>
  </si>
  <si>
    <t>063 SAMAHIL, YUC.</t>
  </si>
  <si>
    <t>064 SANAHCAT, YUC.</t>
  </si>
  <si>
    <t>065 SAN FELIPE, YUC.</t>
  </si>
  <si>
    <t>065 SAN FELIPE</t>
  </si>
  <si>
    <t>066 SANTA ELENA, YUC.</t>
  </si>
  <si>
    <t>067 SEYE, YUC.</t>
  </si>
  <si>
    <t>067 SEYE</t>
  </si>
  <si>
    <t>068 SINANCHE, YUC.</t>
  </si>
  <si>
    <t>068 SINANCHE</t>
  </si>
  <si>
    <t>069 SOTUTA, YUC.</t>
  </si>
  <si>
    <t>070 SUCILA, YUC.</t>
  </si>
  <si>
    <t>071 SUDZAL, YUC.</t>
  </si>
  <si>
    <t>072 SUMA, YUC.</t>
  </si>
  <si>
    <t>073 TAHDZIU, YUC.</t>
  </si>
  <si>
    <t>074 TAHMEK, YUC.</t>
  </si>
  <si>
    <t>074 TAHMEK</t>
  </si>
  <si>
    <t>075 TEABO, YUC.</t>
  </si>
  <si>
    <t>076 TECOH, YUC.</t>
  </si>
  <si>
    <t>077 TEKAL DE VENEGAS, YUC.</t>
  </si>
  <si>
    <t>077 TEKAL DE VENEGAS</t>
  </si>
  <si>
    <t>078 TEKANTO, YUC.</t>
  </si>
  <si>
    <t>079 TEKAX, YUC.</t>
  </si>
  <si>
    <t>080 TEKIT, YUC.</t>
  </si>
  <si>
    <t>081 TEKOM, YUC.</t>
  </si>
  <si>
    <t>082 TELCHAC PUEBLO, YUC.</t>
  </si>
  <si>
    <t xml:space="preserve">083 TELCHAC PUERTO, YUC.  </t>
  </si>
  <si>
    <t>083 TELCHAC PUERTO</t>
  </si>
  <si>
    <t>084 TEMAX, YUC.</t>
  </si>
  <si>
    <t>085 TEMOZON, YUC.</t>
  </si>
  <si>
    <t>086 TEPAKAN, YUC.</t>
  </si>
  <si>
    <t>087 TETIZ, YUC.</t>
  </si>
  <si>
    <t>088 TEYA, YUC.</t>
  </si>
  <si>
    <t>089 TICUL, YUC.</t>
  </si>
  <si>
    <t>090 TIMUCUY, YUC.</t>
  </si>
  <si>
    <t>091 TINUM, YUC.</t>
  </si>
  <si>
    <t>091 TINUM</t>
  </si>
  <si>
    <t>092 TIXCACALCUPUL, YUC.</t>
  </si>
  <si>
    <t>093 TIXKOKOB, YUC.</t>
  </si>
  <si>
    <t>093 TIXKOKOB</t>
  </si>
  <si>
    <t>094 TIXMEUAC, YUC.</t>
  </si>
  <si>
    <t>094 TIXMEUAC</t>
  </si>
  <si>
    <t>095 TIXPEUAL, YUC.</t>
  </si>
  <si>
    <t>096 TIZIMIN, YUC.</t>
  </si>
  <si>
    <t>097 TUNKAS, YUC.</t>
  </si>
  <si>
    <t>098 TZUCACAB, YUC.</t>
  </si>
  <si>
    <t>099 UAYMA, YUC.</t>
  </si>
  <si>
    <t>100 UCU, YUC.</t>
  </si>
  <si>
    <t>100 UCU</t>
  </si>
  <si>
    <t>101 UMAN, YUC.</t>
  </si>
  <si>
    <t>102 VALLADOLID, YUC.</t>
  </si>
  <si>
    <t>103 XOCCHEL, YUC.</t>
  </si>
  <si>
    <t>104 YAXCABA, YUC.</t>
  </si>
  <si>
    <t>105 YAXKUKUL, YUC.</t>
  </si>
  <si>
    <t>105 YAXKUKUL</t>
  </si>
  <si>
    <t>106 YOBAIN, YUC.</t>
  </si>
  <si>
    <t>TOTAL</t>
  </si>
  <si>
    <t>Los montos de las participaciones federales que correspondan a los municipios se presentan en pesos, sin decimales, en cumplimiento a  los numerales 5, fracciones I, inciso d y e), de los Lineamientos para la publicación de la información a que se refiere el artículo 6o. de la Ley de Coordinación Fiscal.</t>
  </si>
  <si>
    <t>LIE</t>
  </si>
  <si>
    <t>ACUERDO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</si>
</sst>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41" formatCode="_-* #,##0_-;\-* #,##0_-;_-* &quot;-&quot;_-;_-@_-"/>
    <numFmt numFmtId="43" formatCode="_-* #,##0.00_-;\-* #,##0.00_-;_-* &quot;-&quot;??_-;_-@_-"/>
    <numFmt numFmtId="164" formatCode="_-* #,##0.0000000000_-;\-* #,##0.0000000000_-;_-* &quot;-&quot;??_-;_-@_-"/>
    <numFmt numFmtId="165" formatCode="_-* #,##0.000000_-;\-* #,##0.000000_-;_-* &quot;-&quot;??_-;_-@_-"/>
    <numFmt numFmtId="166" formatCode="#,##0.0"/>
    <numFmt numFmtId="167" formatCode="#,##0.000000"/>
    <numFmt numFmtId="168" formatCode="0.0000000000"/>
    <numFmt numFmtId="169" formatCode="0.000000"/>
    <numFmt numFmtId="170" formatCode="#,##0.00000000"/>
    <numFmt numFmtId="171" formatCode="0.00000000"/>
    <numFmt numFmtId="172" formatCode="0.00000"/>
    <numFmt numFmtId="173" formatCode="_-* #,##0.000000000_-;\-* #,##0.000000000_-;_-* &quot;-&quot;??_-;_-@_-"/>
    <numFmt numFmtId="174" formatCode="0.00000000000000"/>
    <numFmt numFmtId="175" formatCode="0.0000000"/>
    <numFmt numFmtId="176" formatCode="_-* #,##0_-;\-* #,##0_-;_-* &quot;-&quot;??_-;_-@_-"/>
    <numFmt numFmtId="177" formatCode="_-* #,##0.00000_-;\-* #,##0.00000_-;_-* &quot;-&quot;??_-;_-@_-"/>
    <numFmt numFmtId="178" formatCode="_-* #,##0.00000_-;\-* #,##0.00000_-;_-* &quot;-&quot;?????_-;_-@_-"/>
    <numFmt numFmtId="179" formatCode="#,##0.0000000000"/>
    <numFmt numFmtId="180" formatCode="_-* #,##0.0000000000000_-;\-* #,##0.0000000000000_-;_-* &quot;-&quot;??_-;_-@_-"/>
    <numFmt numFmtId="181" formatCode="_-* #,##0.0000000000000000_-;\-* #,##0.0000000000000000_-;_-* &quot;-&quot;??_-;_-@_-"/>
    <numFmt numFmtId="182" formatCode="0.000000000000000"/>
    <numFmt numFmtId="183" formatCode="_-* #,##0.00000000000000000_-;\-* #,##0.00000000000000000_-;_-* &quot;-&quot;??_-;_-@_-"/>
    <numFmt numFmtId="184" formatCode="_(* #,##0.00_);_(* \(#,##0.00\);_(* &quot;-&quot;??_);_(@_)"/>
    <numFmt numFmtId="185" formatCode="_-* #,##0.00_-;\-* #,##0.00_-;_-* &quot;-&quot;_-;_-@_-"/>
    <numFmt numFmtId="186" formatCode="0.00000000%"/>
    <numFmt numFmtId="187" formatCode="_-* #,##0.00000000_-;\-* #,##0.00000000_-;_-* &quot;-&quot;??_-;_-@_-"/>
    <numFmt numFmtId="188" formatCode="0.000000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Arial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rgb="FF000000"/>
      <name val="Arial Narrow"/>
      <family val="2"/>
    </font>
    <font>
      <sz val="9"/>
      <name val="Arial Narrow"/>
      <family val="2"/>
    </font>
    <font>
      <b/>
      <sz val="10"/>
      <name val="Arial Narrow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theme="0"/>
      <name val="Arial Narrow"/>
      <family val="2"/>
    </font>
    <font>
      <b/>
      <sz val="11"/>
      <color theme="1"/>
      <name val="Arial"/>
      <family val="2"/>
    </font>
    <font>
      <b/>
      <sz val="11"/>
      <color theme="1"/>
      <name val="Arial Narrow"/>
      <family val="2"/>
    </font>
    <font>
      <sz val="10"/>
      <name val="Arial Narrow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7"/>
      <color theme="0"/>
      <name val="Arial"/>
      <family val="2"/>
    </font>
    <font>
      <sz val="12"/>
      <color rgb="FF000000"/>
      <name val="Arial"/>
      <family val="2"/>
    </font>
    <font>
      <b/>
      <sz val="12"/>
      <color rgb="FFFFFFFF"/>
      <name val="Arial"/>
      <family val="2"/>
    </font>
    <font>
      <sz val="5"/>
      <color rgb="FF00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3F3F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4B4B4B"/>
        <bgColor indexed="64"/>
      </patternFill>
    </fill>
    <fill>
      <patternFill patternType="solid">
        <fgColor theme="3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theme="4" tint="0.39997558519241921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/>
  </cellStyleXfs>
  <cellXfs count="173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10" fontId="6" fillId="0" borderId="4" xfId="0" applyNumberFormat="1" applyFont="1" applyBorder="1" applyAlignment="1">
      <alignment horizontal="center" vertical="center" wrapText="1"/>
    </xf>
    <xf numFmtId="10" fontId="6" fillId="2" borderId="4" xfId="0" applyNumberFormat="1" applyFont="1" applyFill="1" applyBorder="1" applyAlignment="1">
      <alignment horizontal="center" vertical="center" wrapText="1"/>
    </xf>
    <xf numFmtId="10" fontId="6" fillId="3" borderId="4" xfId="0" applyNumberFormat="1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3" fontId="8" fillId="0" borderId="4" xfId="0" quotePrefix="1" applyNumberFormat="1" applyFont="1" applyBorder="1" applyAlignment="1">
      <alignment horizontal="left" vertical="center"/>
    </xf>
    <xf numFmtId="0" fontId="5" fillId="0" borderId="4" xfId="0" applyFont="1" applyBorder="1"/>
    <xf numFmtId="164" fontId="5" fillId="0" borderId="4" xfId="0" applyNumberFormat="1" applyFont="1" applyBorder="1"/>
    <xf numFmtId="165" fontId="5" fillId="0" borderId="4" xfId="0" applyNumberFormat="1" applyFont="1" applyBorder="1"/>
    <xf numFmtId="166" fontId="5" fillId="0" borderId="4" xfId="0" applyNumberFormat="1" applyFont="1" applyBorder="1"/>
    <xf numFmtId="167" fontId="5" fillId="0" borderId="4" xfId="0" applyNumberFormat="1" applyFont="1" applyBorder="1"/>
    <xf numFmtId="166" fontId="5" fillId="0" borderId="4" xfId="0" applyNumberFormat="1" applyFont="1" applyBorder="1" applyAlignment="1">
      <alignment horizontal="right"/>
    </xf>
    <xf numFmtId="168" fontId="5" fillId="0" borderId="4" xfId="0" applyNumberFormat="1" applyFont="1" applyBorder="1"/>
    <xf numFmtId="169" fontId="5" fillId="0" borderId="4" xfId="0" applyNumberFormat="1" applyFont="1" applyBorder="1"/>
    <xf numFmtId="170" fontId="5" fillId="0" borderId="4" xfId="0" applyNumberFormat="1" applyFont="1" applyBorder="1"/>
    <xf numFmtId="171" fontId="5" fillId="0" borderId="4" xfId="0" applyNumberFormat="1" applyFont="1" applyBorder="1"/>
    <xf numFmtId="172" fontId="5" fillId="0" borderId="4" xfId="0" applyNumberFormat="1" applyFont="1" applyBorder="1"/>
    <xf numFmtId="173" fontId="5" fillId="0" borderId="4" xfId="0" applyNumberFormat="1" applyFont="1" applyBorder="1"/>
    <xf numFmtId="173" fontId="5" fillId="0" borderId="4" xfId="2" applyNumberFormat="1" applyFont="1" applyBorder="1"/>
    <xf numFmtId="164" fontId="5" fillId="0" borderId="0" xfId="0" applyNumberFormat="1" applyFont="1"/>
    <xf numFmtId="168" fontId="5" fillId="0" borderId="0" xfId="0" applyNumberFormat="1" applyFont="1"/>
    <xf numFmtId="174" fontId="5" fillId="0" borderId="0" xfId="0" applyNumberFormat="1" applyFont="1"/>
    <xf numFmtId="173" fontId="5" fillId="0" borderId="4" xfId="2" applyNumberFormat="1" applyFont="1" applyFill="1" applyBorder="1"/>
    <xf numFmtId="3" fontId="8" fillId="0" borderId="4" xfId="0" applyNumberFormat="1" applyFont="1" applyBorder="1" applyAlignment="1">
      <alignment horizontal="left" vertical="center"/>
    </xf>
    <xf numFmtId="175" fontId="5" fillId="0" borderId="0" xfId="0" applyNumberFormat="1" applyFont="1"/>
    <xf numFmtId="3" fontId="9" fillId="5" borderId="4" xfId="0" quotePrefix="1" applyNumberFormat="1" applyFont="1" applyFill="1" applyBorder="1" applyAlignment="1">
      <alignment horizontal="left" vertical="center"/>
    </xf>
    <xf numFmtId="176" fontId="6" fillId="5" borderId="4" xfId="1" applyNumberFormat="1" applyFont="1" applyFill="1" applyBorder="1" applyAlignment="1">
      <alignment vertical="center"/>
    </xf>
    <xf numFmtId="177" fontId="6" fillId="5" borderId="4" xfId="1" applyNumberFormat="1" applyFont="1" applyFill="1" applyBorder="1" applyAlignment="1">
      <alignment vertical="center"/>
    </xf>
    <xf numFmtId="177" fontId="6" fillId="6" borderId="4" xfId="1" applyNumberFormat="1" applyFont="1" applyFill="1" applyBorder="1" applyAlignment="1">
      <alignment vertical="center"/>
    </xf>
    <xf numFmtId="177" fontId="6" fillId="7" borderId="4" xfId="1" applyNumberFormat="1" applyFont="1" applyFill="1" applyBorder="1" applyAlignment="1">
      <alignment vertical="center"/>
    </xf>
    <xf numFmtId="41" fontId="6" fillId="5" borderId="4" xfId="1" applyNumberFormat="1" applyFont="1" applyFill="1" applyBorder="1" applyAlignment="1">
      <alignment vertical="center"/>
    </xf>
    <xf numFmtId="165" fontId="6" fillId="8" borderId="4" xfId="1" applyNumberFormat="1" applyFont="1" applyFill="1" applyBorder="1" applyAlignment="1">
      <alignment vertical="center"/>
    </xf>
    <xf numFmtId="165" fontId="6" fillId="6" borderId="4" xfId="1" applyNumberFormat="1" applyFont="1" applyFill="1" applyBorder="1" applyAlignment="1">
      <alignment vertical="center"/>
    </xf>
    <xf numFmtId="165" fontId="6" fillId="6" borderId="4" xfId="1" applyNumberFormat="1" applyFont="1" applyFill="1" applyBorder="1" applyAlignment="1">
      <alignment horizontal="center" vertical="center"/>
    </xf>
    <xf numFmtId="165" fontId="6" fillId="5" borderId="4" xfId="1" applyNumberFormat="1" applyFont="1" applyFill="1" applyBorder="1" applyAlignment="1">
      <alignment horizontal="center" vertical="center"/>
    </xf>
    <xf numFmtId="165" fontId="6" fillId="5" borderId="4" xfId="1" applyNumberFormat="1" applyFont="1" applyFill="1" applyBorder="1" applyAlignment="1">
      <alignment vertical="center"/>
    </xf>
    <xf numFmtId="0" fontId="10" fillId="0" borderId="0" xfId="0" applyFont="1"/>
    <xf numFmtId="0" fontId="12" fillId="0" borderId="0" xfId="0" applyFont="1"/>
    <xf numFmtId="177" fontId="0" fillId="0" borderId="0" xfId="0" applyNumberFormat="1"/>
    <xf numFmtId="43" fontId="0" fillId="0" borderId="0" xfId="0" applyNumberFormat="1"/>
    <xf numFmtId="178" fontId="0" fillId="0" borderId="0" xfId="0" applyNumberForma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168" fontId="5" fillId="0" borderId="0" xfId="2" applyNumberFormat="1" applyFont="1" applyFill="1" applyBorder="1"/>
    <xf numFmtId="176" fontId="5" fillId="0" borderId="0" xfId="0" applyNumberFormat="1" applyFont="1"/>
    <xf numFmtId="172" fontId="5" fillId="0" borderId="0" xfId="0" applyNumberFormat="1" applyFont="1"/>
    <xf numFmtId="168" fontId="5" fillId="0" borderId="0" xfId="2" applyNumberFormat="1" applyFont="1" applyBorder="1"/>
    <xf numFmtId="179" fontId="5" fillId="0" borderId="4" xfId="0" applyNumberFormat="1" applyFont="1" applyBorder="1"/>
    <xf numFmtId="165" fontId="15" fillId="9" borderId="4" xfId="1" applyNumberFormat="1" applyFont="1" applyFill="1" applyBorder="1" applyAlignment="1">
      <alignment vertical="center"/>
    </xf>
    <xf numFmtId="165" fontId="15" fillId="9" borderId="4" xfId="1" applyNumberFormat="1" applyFont="1" applyFill="1" applyBorder="1" applyAlignment="1">
      <alignment horizontal="center" vertical="center"/>
    </xf>
    <xf numFmtId="177" fontId="15" fillId="9" borderId="4" xfId="1" applyNumberFormat="1" applyFont="1" applyFill="1" applyBorder="1" applyAlignment="1">
      <alignment vertical="center"/>
    </xf>
    <xf numFmtId="165" fontId="6" fillId="5" borderId="0" xfId="1" applyNumberFormat="1" applyFont="1" applyFill="1" applyBorder="1" applyAlignment="1">
      <alignment vertical="center"/>
    </xf>
    <xf numFmtId="0" fontId="16" fillId="0" borderId="0" xfId="0" applyFont="1" applyAlignment="1">
      <alignment horizontal="center"/>
    </xf>
    <xf numFmtId="180" fontId="0" fillId="0" borderId="0" xfId="0" applyNumberFormat="1"/>
    <xf numFmtId="0" fontId="17" fillId="0" borderId="4" xfId="0" applyFont="1" applyBorder="1" applyAlignment="1">
      <alignment horizontal="center" vertical="center" wrapText="1"/>
    </xf>
    <xf numFmtId="180" fontId="17" fillId="0" borderId="4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/>
    </xf>
    <xf numFmtId="180" fontId="6" fillId="0" borderId="4" xfId="0" applyNumberFormat="1" applyFont="1" applyBorder="1" applyAlignment="1">
      <alignment horizontal="center" vertical="center" wrapText="1"/>
    </xf>
    <xf numFmtId="3" fontId="18" fillId="0" borderId="4" xfId="0" quotePrefix="1" applyNumberFormat="1" applyFont="1" applyBorder="1" applyAlignment="1">
      <alignment horizontal="left" vertical="center"/>
    </xf>
    <xf numFmtId="0" fontId="5" fillId="4" borderId="4" xfId="0" applyFont="1" applyFill="1" applyBorder="1"/>
    <xf numFmtId="181" fontId="5" fillId="0" borderId="4" xfId="0" applyNumberFormat="1" applyFont="1" applyBorder="1"/>
    <xf numFmtId="182" fontId="0" fillId="0" borderId="0" xfId="0" applyNumberFormat="1"/>
    <xf numFmtId="183" fontId="5" fillId="0" borderId="4" xfId="0" applyNumberFormat="1" applyFont="1" applyBorder="1"/>
    <xf numFmtId="3" fontId="18" fillId="0" borderId="4" xfId="0" applyNumberFormat="1" applyFont="1" applyBorder="1" applyAlignment="1">
      <alignment horizontal="left" vertical="center"/>
    </xf>
    <xf numFmtId="0" fontId="9" fillId="0" borderId="4" xfId="0" applyFont="1" applyBorder="1" applyAlignment="1">
      <alignment horizontal="center" vertical="center"/>
    </xf>
    <xf numFmtId="0" fontId="0" fillId="0" borderId="4" xfId="0" applyBorder="1"/>
    <xf numFmtId="0" fontId="3" fillId="9" borderId="4" xfId="0" applyFont="1" applyFill="1" applyBorder="1"/>
    <xf numFmtId="1" fontId="0" fillId="0" borderId="4" xfId="0" applyNumberFormat="1" applyBorder="1"/>
    <xf numFmtId="43" fontId="0" fillId="0" borderId="4" xfId="1" applyFont="1" applyBorder="1"/>
    <xf numFmtId="0" fontId="19" fillId="0" borderId="0" xfId="3"/>
    <xf numFmtId="0" fontId="20" fillId="0" borderId="0" xfId="3" applyFont="1" applyAlignment="1">
      <alignment horizontal="center"/>
    </xf>
    <xf numFmtId="0" fontId="21" fillId="5" borderId="7" xfId="3" applyFont="1" applyFill="1" applyBorder="1" applyAlignment="1">
      <alignment horizontal="center"/>
    </xf>
    <xf numFmtId="0" fontId="21" fillId="5" borderId="8" xfId="3" applyFont="1" applyFill="1" applyBorder="1" applyAlignment="1">
      <alignment horizontal="center"/>
    </xf>
    <xf numFmtId="0" fontId="22" fillId="5" borderId="7" xfId="3" applyFont="1" applyFill="1" applyBorder="1" applyAlignment="1">
      <alignment horizontal="center"/>
    </xf>
    <xf numFmtId="0" fontId="22" fillId="5" borderId="8" xfId="3" applyFont="1" applyFill="1" applyBorder="1" applyAlignment="1">
      <alignment horizontal="center"/>
    </xf>
    <xf numFmtId="0" fontId="21" fillId="5" borderId="9" xfId="3" applyFont="1" applyFill="1" applyBorder="1" applyAlignment="1">
      <alignment horizontal="center"/>
    </xf>
    <xf numFmtId="184" fontId="21" fillId="0" borderId="0" xfId="3" applyNumberFormat="1" applyFont="1"/>
    <xf numFmtId="0" fontId="21" fillId="5" borderId="10" xfId="3" applyFont="1" applyFill="1" applyBorder="1" applyAlignment="1">
      <alignment horizontal="center"/>
    </xf>
    <xf numFmtId="0" fontId="21" fillId="5" borderId="0" xfId="3" applyFont="1" applyFill="1" applyAlignment="1">
      <alignment horizontal="center"/>
    </xf>
    <xf numFmtId="0" fontId="23" fillId="5" borderId="10" xfId="3" applyFont="1" applyFill="1" applyBorder="1" applyAlignment="1">
      <alignment horizontal="center"/>
    </xf>
    <xf numFmtId="0" fontId="23" fillId="5" borderId="0" xfId="3" applyFont="1" applyFill="1" applyAlignment="1">
      <alignment horizontal="center"/>
    </xf>
    <xf numFmtId="0" fontId="21" fillId="5" borderId="11" xfId="3" applyFont="1" applyFill="1" applyBorder="1" applyAlignment="1">
      <alignment horizontal="center"/>
    </xf>
    <xf numFmtId="0" fontId="24" fillId="0" borderId="0" xfId="3" applyFont="1"/>
    <xf numFmtId="0" fontId="25" fillId="5" borderId="12" xfId="3" applyFont="1" applyFill="1" applyBorder="1"/>
    <xf numFmtId="0" fontId="25" fillId="5" borderId="12" xfId="3" applyFont="1" applyFill="1" applyBorder="1" applyAlignment="1">
      <alignment horizontal="center"/>
    </xf>
    <xf numFmtId="0" fontId="25" fillId="5" borderId="7" xfId="3" applyFont="1" applyFill="1" applyBorder="1" applyAlignment="1">
      <alignment horizontal="center"/>
    </xf>
    <xf numFmtId="0" fontId="25" fillId="5" borderId="8" xfId="3" applyFont="1" applyFill="1" applyBorder="1" applyAlignment="1">
      <alignment horizontal="center"/>
    </xf>
    <xf numFmtId="0" fontId="25" fillId="5" borderId="9" xfId="3" applyFont="1" applyFill="1" applyBorder="1" applyAlignment="1">
      <alignment horizontal="center"/>
    </xf>
    <xf numFmtId="0" fontId="26" fillId="10" borderId="13" xfId="3" applyFont="1" applyFill="1" applyBorder="1" applyAlignment="1">
      <alignment horizontal="center" vertical="center" wrapText="1"/>
    </xf>
    <xf numFmtId="0" fontId="25" fillId="11" borderId="14" xfId="3" applyFont="1" applyFill="1" applyBorder="1" applyAlignment="1">
      <alignment horizontal="center"/>
    </xf>
    <xf numFmtId="0" fontId="21" fillId="5" borderId="12" xfId="3" applyFont="1" applyFill="1" applyBorder="1" applyAlignment="1">
      <alignment horizontal="center"/>
    </xf>
    <xf numFmtId="0" fontId="25" fillId="5" borderId="15" xfId="3" applyFont="1" applyFill="1" applyBorder="1"/>
    <xf numFmtId="0" fontId="25" fillId="5" borderId="15" xfId="3" applyFont="1" applyFill="1" applyBorder="1" applyAlignment="1">
      <alignment horizontal="center"/>
    </xf>
    <xf numFmtId="0" fontId="25" fillId="5" borderId="10" xfId="3" applyFont="1" applyFill="1" applyBorder="1" applyAlignment="1">
      <alignment horizontal="center"/>
    </xf>
    <xf numFmtId="0" fontId="25" fillId="5" borderId="0" xfId="3" applyFont="1" applyFill="1" applyAlignment="1">
      <alignment horizontal="center"/>
    </xf>
    <xf numFmtId="0" fontId="25" fillId="5" borderId="11" xfId="3" applyFont="1" applyFill="1" applyBorder="1" applyAlignment="1">
      <alignment horizontal="center"/>
    </xf>
    <xf numFmtId="0" fontId="26" fillId="10" borderId="11" xfId="3" applyFont="1" applyFill="1" applyBorder="1" applyAlignment="1">
      <alignment horizontal="center" vertical="center" wrapText="1"/>
    </xf>
    <xf numFmtId="0" fontId="25" fillId="11" borderId="0" xfId="3" applyFont="1" applyFill="1" applyAlignment="1">
      <alignment horizontal="center"/>
    </xf>
    <xf numFmtId="0" fontId="21" fillId="5" borderId="15" xfId="3" applyFont="1" applyFill="1" applyBorder="1" applyAlignment="1">
      <alignment horizontal="center"/>
    </xf>
    <xf numFmtId="185" fontId="19" fillId="0" borderId="0" xfId="3" applyNumberFormat="1"/>
    <xf numFmtId="0" fontId="24" fillId="5" borderId="16" xfId="3" applyFont="1" applyFill="1" applyBorder="1"/>
    <xf numFmtId="0" fontId="25" fillId="5" borderId="16" xfId="3" applyFont="1" applyFill="1" applyBorder="1" applyAlignment="1">
      <alignment horizontal="center"/>
    </xf>
    <xf numFmtId="0" fontId="25" fillId="5" borderId="17" xfId="3" applyFont="1" applyFill="1" applyBorder="1" applyAlignment="1">
      <alignment horizontal="center"/>
    </xf>
    <xf numFmtId="0" fontId="25" fillId="5" borderId="18" xfId="3" applyFont="1" applyFill="1" applyBorder="1" applyAlignment="1">
      <alignment horizontal="center"/>
    </xf>
    <xf numFmtId="0" fontId="25" fillId="5" borderId="19" xfId="3" applyFont="1" applyFill="1" applyBorder="1" applyAlignment="1">
      <alignment horizontal="center"/>
    </xf>
    <xf numFmtId="0" fontId="26" fillId="10" borderId="19" xfId="3" applyFont="1" applyFill="1" applyBorder="1" applyAlignment="1">
      <alignment horizontal="center" vertical="center" wrapText="1"/>
    </xf>
    <xf numFmtId="0" fontId="25" fillId="11" borderId="20" xfId="3" applyFont="1" applyFill="1" applyBorder="1" applyAlignment="1">
      <alignment horizontal="center"/>
    </xf>
    <xf numFmtId="0" fontId="2" fillId="12" borderId="21" xfId="0" applyFont="1" applyFill="1" applyBorder="1"/>
    <xf numFmtId="0" fontId="24" fillId="0" borderId="22" xfId="3" applyFont="1" applyBorder="1" applyAlignment="1">
      <alignment horizontal="center"/>
    </xf>
    <xf numFmtId="3" fontId="24" fillId="0" borderId="23" xfId="3" quotePrefix="1" applyNumberFormat="1" applyFont="1" applyBorder="1" applyAlignment="1">
      <alignment horizontal="left" vertical="center"/>
    </xf>
    <xf numFmtId="186" fontId="24" fillId="5" borderId="4" xfId="3" applyNumberFormat="1" applyFont="1" applyFill="1" applyBorder="1"/>
    <xf numFmtId="186" fontId="24" fillId="5" borderId="5" xfId="3" applyNumberFormat="1" applyFont="1" applyFill="1" applyBorder="1"/>
    <xf numFmtId="41" fontId="24" fillId="0" borderId="22" xfId="3" applyNumberFormat="1" applyFont="1" applyBorder="1" applyAlignment="1">
      <alignment vertical="center"/>
    </xf>
    <xf numFmtId="186" fontId="24" fillId="5" borderId="22" xfId="2" applyNumberFormat="1" applyFont="1" applyFill="1" applyBorder="1" applyAlignment="1">
      <alignment vertical="center"/>
    </xf>
    <xf numFmtId="187" fontId="25" fillId="5" borderId="24" xfId="3" applyNumberFormat="1" applyFont="1" applyFill="1" applyBorder="1"/>
    <xf numFmtId="187" fontId="25" fillId="5" borderId="22" xfId="3" applyNumberFormat="1" applyFont="1" applyFill="1" applyBorder="1"/>
    <xf numFmtId="187" fontId="25" fillId="5" borderId="25" xfId="3" applyNumberFormat="1" applyFont="1" applyFill="1" applyBorder="1"/>
    <xf numFmtId="4" fontId="24" fillId="0" borderId="22" xfId="3" applyNumberFormat="1" applyFont="1" applyBorder="1"/>
    <xf numFmtId="186" fontId="24" fillId="5" borderId="1" xfId="3" applyNumberFormat="1" applyFont="1" applyFill="1" applyBorder="1"/>
    <xf numFmtId="41" fontId="25" fillId="0" borderId="22" xfId="3" applyNumberFormat="1" applyFont="1" applyBorder="1"/>
    <xf numFmtId="3" fontId="27" fillId="0" borderId="0" xfId="0" applyNumberFormat="1" applyFont="1" applyAlignment="1">
      <alignment horizontal="right" vertical="center" wrapText="1"/>
    </xf>
    <xf numFmtId="9" fontId="0" fillId="0" borderId="0" xfId="2" applyFont="1"/>
    <xf numFmtId="0" fontId="0" fillId="0" borderId="0" xfId="0" applyAlignment="1">
      <alignment horizontal="left"/>
    </xf>
    <xf numFmtId="185" fontId="0" fillId="0" borderId="0" xfId="0" applyNumberFormat="1"/>
    <xf numFmtId="41" fontId="0" fillId="0" borderId="0" xfId="0" applyNumberFormat="1"/>
    <xf numFmtId="3" fontId="24" fillId="0" borderId="26" xfId="3" quotePrefix="1" applyNumberFormat="1" applyFont="1" applyBorder="1" applyAlignment="1">
      <alignment horizontal="left" vertical="center"/>
    </xf>
    <xf numFmtId="3" fontId="27" fillId="13" borderId="0" xfId="0" applyNumberFormat="1" applyFont="1" applyFill="1" applyAlignment="1">
      <alignment horizontal="right" vertical="center" wrapText="1"/>
    </xf>
    <xf numFmtId="3" fontId="24" fillId="0" borderId="26" xfId="3" applyNumberFormat="1" applyFont="1" applyBorder="1" applyAlignment="1">
      <alignment horizontal="left" vertical="center"/>
    </xf>
    <xf numFmtId="0" fontId="24" fillId="0" borderId="27" xfId="3" applyFont="1" applyBorder="1" applyAlignment="1">
      <alignment horizontal="center"/>
    </xf>
    <xf numFmtId="3" fontId="24" fillId="0" borderId="28" xfId="3" quotePrefix="1" applyNumberFormat="1" applyFont="1" applyBorder="1" applyAlignment="1">
      <alignment horizontal="left" vertical="center"/>
    </xf>
    <xf numFmtId="4" fontId="24" fillId="0" borderId="27" xfId="3" applyNumberFormat="1" applyFont="1" applyBorder="1"/>
    <xf numFmtId="186" fontId="24" fillId="5" borderId="29" xfId="3" applyNumberFormat="1" applyFont="1" applyFill="1" applyBorder="1"/>
    <xf numFmtId="41" fontId="25" fillId="0" borderId="27" xfId="3" applyNumberFormat="1" applyFont="1" applyBorder="1"/>
    <xf numFmtId="0" fontId="25" fillId="0" borderId="0" xfId="3" applyFont="1"/>
    <xf numFmtId="0" fontId="25" fillId="0" borderId="30" xfId="3" applyFont="1" applyBorder="1"/>
    <xf numFmtId="0" fontId="25" fillId="0" borderId="30" xfId="3" applyFont="1" applyBorder="1" applyAlignment="1">
      <alignment vertical="center"/>
    </xf>
    <xf numFmtId="186" fontId="25" fillId="5" borderId="30" xfId="3" applyNumberFormat="1" applyFont="1" applyFill="1" applyBorder="1" applyAlignment="1">
      <alignment vertical="center"/>
    </xf>
    <xf numFmtId="41" fontId="25" fillId="0" borderId="30" xfId="3" applyNumberFormat="1" applyFont="1" applyBorder="1" applyAlignment="1">
      <alignment vertical="center"/>
    </xf>
    <xf numFmtId="4" fontId="25" fillId="0" borderId="31" xfId="3" applyNumberFormat="1" applyFont="1" applyBorder="1"/>
    <xf numFmtId="188" fontId="25" fillId="11" borderId="32" xfId="3" applyNumberFormat="1" applyFont="1" applyFill="1" applyBorder="1"/>
    <xf numFmtId="41" fontId="25" fillId="14" borderId="30" xfId="3" applyNumberFormat="1" applyFont="1" applyFill="1" applyBorder="1"/>
    <xf numFmtId="41" fontId="21" fillId="0" borderId="0" xfId="3" applyNumberFormat="1" applyFont="1"/>
    <xf numFmtId="4" fontId="28" fillId="15" borderId="0" xfId="0" applyNumberFormat="1" applyFont="1" applyFill="1" applyAlignment="1">
      <alignment horizontal="right" vertical="center" wrapText="1"/>
    </xf>
    <xf numFmtId="0" fontId="21" fillId="0" borderId="0" xfId="3" applyFont="1"/>
    <xf numFmtId="0" fontId="2" fillId="12" borderId="33" xfId="0" applyFont="1" applyFill="1" applyBorder="1" applyAlignment="1">
      <alignment horizontal="left"/>
    </xf>
    <xf numFmtId="0" fontId="2" fillId="12" borderId="33" xfId="0" applyFont="1" applyFill="1" applyBorder="1"/>
    <xf numFmtId="41" fontId="19" fillId="0" borderId="0" xfId="3" applyNumberFormat="1"/>
    <xf numFmtId="43" fontId="19" fillId="0" borderId="0" xfId="3" applyNumberFormat="1"/>
    <xf numFmtId="0" fontId="21" fillId="0" borderId="30" xfId="3" applyFont="1" applyBorder="1"/>
    <xf numFmtId="0" fontId="21" fillId="0" borderId="30" xfId="3" applyFont="1" applyBorder="1" applyAlignment="1">
      <alignment vertical="center"/>
    </xf>
    <xf numFmtId="186" fontId="21" fillId="5" borderId="30" xfId="3" applyNumberFormat="1" applyFont="1" applyFill="1" applyBorder="1" applyAlignment="1">
      <alignment vertical="center"/>
    </xf>
    <xf numFmtId="41" fontId="21" fillId="16" borderId="30" xfId="3" applyNumberFormat="1" applyFont="1" applyFill="1" applyBorder="1" applyAlignment="1">
      <alignment vertical="center"/>
    </xf>
    <xf numFmtId="41" fontId="21" fillId="0" borderId="30" xfId="3" applyNumberFormat="1" applyFont="1" applyBorder="1" applyAlignment="1">
      <alignment vertical="center"/>
    </xf>
    <xf numFmtId="4" fontId="21" fillId="0" borderId="31" xfId="3" applyNumberFormat="1" applyFont="1" applyBorder="1"/>
    <xf numFmtId="188" fontId="21" fillId="11" borderId="32" xfId="3" applyNumberFormat="1" applyFont="1" applyFill="1" applyBorder="1"/>
    <xf numFmtId="41" fontId="21" fillId="14" borderId="30" xfId="3" applyNumberFormat="1" applyFont="1" applyFill="1" applyBorder="1"/>
    <xf numFmtId="3" fontId="29" fillId="0" borderId="0" xfId="3" applyNumberFormat="1" applyFont="1"/>
  </cellXfs>
  <cellStyles count="4">
    <cellStyle name="Millares" xfId="1" builtinId="3"/>
    <cellStyle name="Normal" xfId="0" builtinId="0"/>
    <cellStyle name="Normal 2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ssette.mendoza\AppData\Local\Microsoft\Windows\INetCache\Content.Outlook\MJ5H7QQO\20230123%20calendario%20distribuci&#243;n%20de%20participaciones%20municipales%20validacion%20LM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redanahuac-my.sharepoint.com/personal/juan_bribiesca_anahuac_mx/Documents/Trabajo/Direcci&#243;n%20General%20de%20Ingresos/Municipios/FORMATOS%2010/EDITADOS%20POR%20JP/2018-2022%20j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 MUNICIPIO VALIDACIÓN"/>
      <sheetName val="CALENDARIO PARTICIPACIONES JP"/>
      <sheetName val="Participaciones  Tabla I"/>
      <sheetName val="FOMUN 30% Tabla II (2)"/>
      <sheetName val="FOMUN 30% Tabla II"/>
      <sheetName val=" GASOLINAS  Tabla III"/>
      <sheetName val="POR MUNICIPIO ANUALPUBLICACIÓN"/>
      <sheetName val="Hoja1"/>
      <sheetName val="lie"/>
      <sheetName val="estatales"/>
      <sheetName val="impuestos estatales"/>
      <sheetName val="calendario federal"/>
    </sheetNames>
    <sheetDataSet>
      <sheetData sheetId="0"/>
      <sheetData sheetId="1"/>
      <sheetData sheetId="2">
        <row r="5">
          <cell r="A5">
            <v>1</v>
          </cell>
          <cell r="B5" t="str">
            <v xml:space="preserve">ABALA </v>
          </cell>
          <cell r="C5">
            <v>6550</v>
          </cell>
          <cell r="D5">
            <v>2.8221834824279225E-3</v>
          </cell>
          <cell r="E5">
            <v>1.8061974287538704E-3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25055.29</v>
          </cell>
          <cell r="L5">
            <v>50000</v>
          </cell>
          <cell r="M5">
            <v>75055.290000000008</v>
          </cell>
          <cell r="N5">
            <v>7.1674809516137831E-5</v>
          </cell>
          <cell r="O5">
            <v>2.3652687140325484E-5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2.3652687140325484E-5</v>
          </cell>
          <cell r="V5">
            <v>1.0643709213146467E-6</v>
          </cell>
          <cell r="W5">
            <v>0</v>
          </cell>
          <cell r="X5">
            <v>52.064402972226397</v>
          </cell>
          <cell r="Y5">
            <v>11006.770173447123</v>
          </cell>
          <cell r="Z5">
            <v>4.7665005926614346E-3</v>
          </cell>
          <cell r="AA5">
            <v>1.1916251481653587E-4</v>
          </cell>
          <cell r="AB5">
            <v>2.5471698113207547E-3</v>
          </cell>
          <cell r="AC5">
            <v>4.4735941258124759E-3</v>
          </cell>
        </row>
        <row r="6">
          <cell r="A6">
            <v>2</v>
          </cell>
          <cell r="B6" t="str">
            <v xml:space="preserve">ACANCEH </v>
          </cell>
          <cell r="C6">
            <v>16772</v>
          </cell>
          <cell r="D6">
            <v>7.2265131858444444E-3</v>
          </cell>
          <cell r="E6">
            <v>4.6249684389404449E-3</v>
          </cell>
          <cell r="F6">
            <v>31181</v>
          </cell>
          <cell r="G6">
            <v>105808.5</v>
          </cell>
          <cell r="H6">
            <v>136989.5</v>
          </cell>
          <cell r="I6">
            <v>1.2700822601900848E-4</v>
          </cell>
          <cell r="J6">
            <v>4.1912714586272798E-5</v>
          </cell>
          <cell r="K6">
            <v>23043</v>
          </cell>
          <cell r="L6">
            <v>25600</v>
          </cell>
          <cell r="M6">
            <v>48643</v>
          </cell>
          <cell r="N6">
            <v>4.6452125616908445E-5</v>
          </cell>
          <cell r="O6">
            <v>1.5329201453579789E-5</v>
          </cell>
          <cell r="P6">
            <v>49449</v>
          </cell>
          <cell r="Q6">
            <v>46723</v>
          </cell>
          <cell r="R6">
            <v>96172</v>
          </cell>
          <cell r="S6">
            <v>7.6828040115245209E-5</v>
          </cell>
          <cell r="T6">
            <v>2.6121533639183372E-5</v>
          </cell>
          <cell r="U6">
            <v>8.3363449679035959E-5</v>
          </cell>
          <cell r="V6">
            <v>3.7513552355566181E-6</v>
          </cell>
          <cell r="W6">
            <v>1.5365608023049043E-6</v>
          </cell>
          <cell r="X6">
            <v>55.083317191262999</v>
          </cell>
          <cell r="Y6">
            <v>20811.855152320713</v>
          </cell>
          <cell r="Z6">
            <v>9.0126093626658361E-3</v>
          </cell>
          <cell r="AA6">
            <v>2.2531523406664591E-4</v>
          </cell>
          <cell r="AB6">
            <v>2.5471698113207547E-3</v>
          </cell>
          <cell r="AC6">
            <v>7.4027414003657067E-3</v>
          </cell>
        </row>
        <row r="7">
          <cell r="A7">
            <v>3</v>
          </cell>
          <cell r="B7" t="str">
            <v xml:space="preserve">AKIL </v>
          </cell>
          <cell r="C7">
            <v>12285</v>
          </cell>
          <cell r="D7">
            <v>5.293209783454508E-3</v>
          </cell>
          <cell r="E7">
            <v>3.3876542614108851E-3</v>
          </cell>
          <cell r="F7">
            <v>104252.65</v>
          </cell>
          <cell r="G7">
            <v>196917.5</v>
          </cell>
          <cell r="H7">
            <v>301170.15000000002</v>
          </cell>
          <cell r="I7">
            <v>2.7922641137735876E-4</v>
          </cell>
          <cell r="J7">
            <v>9.2144715754528391E-5</v>
          </cell>
          <cell r="K7">
            <v>67378.81</v>
          </cell>
          <cell r="L7">
            <v>37410</v>
          </cell>
          <cell r="M7">
            <v>104788.81</v>
          </cell>
          <cell r="N7">
            <v>1.0006913564883645E-4</v>
          </cell>
          <cell r="O7">
            <v>3.3022814764116028E-5</v>
          </cell>
          <cell r="P7">
            <v>98578.51</v>
          </cell>
          <cell r="Q7">
            <v>234962.51</v>
          </cell>
          <cell r="R7">
            <v>333541.02</v>
          </cell>
          <cell r="S7">
            <v>2.6645284349540203E-4</v>
          </cell>
          <cell r="T7">
            <v>9.0593966788436693E-5</v>
          </cell>
          <cell r="U7">
            <v>2.1576149730708112E-4</v>
          </cell>
          <cell r="V7">
            <v>9.7092673788186501E-6</v>
          </cell>
          <cell r="W7">
            <v>5.329056869908041E-6</v>
          </cell>
          <cell r="X7">
            <v>53.822860644154098</v>
          </cell>
          <cell r="Y7">
            <v>17498.64945724413</v>
          </cell>
          <cell r="Z7">
            <v>7.5778199866425632E-3</v>
          </cell>
          <cell r="AA7">
            <v>1.8944549966606409E-4</v>
          </cell>
          <cell r="AB7">
            <v>2.5471698113207547E-3</v>
          </cell>
          <cell r="AC7">
            <v>6.1393078966464308E-3</v>
          </cell>
        </row>
        <row r="8">
          <cell r="A8">
            <v>4</v>
          </cell>
          <cell r="B8" t="str">
            <v xml:space="preserve">BACA </v>
          </cell>
          <cell r="C8">
            <v>6195</v>
          </cell>
          <cell r="D8">
            <v>2.6692254463574015E-3</v>
          </cell>
          <cell r="E8">
            <v>1.708304285668737E-3</v>
          </cell>
          <cell r="F8">
            <v>458379</v>
          </cell>
          <cell r="G8">
            <v>3400</v>
          </cell>
          <cell r="H8">
            <v>461779</v>
          </cell>
          <cell r="I8">
            <v>4.2813304379409891E-4</v>
          </cell>
          <cell r="J8">
            <v>1.4128390445205264E-4</v>
          </cell>
          <cell r="K8">
            <v>195541</v>
          </cell>
          <cell r="L8">
            <v>6000</v>
          </cell>
          <cell r="M8">
            <v>201541</v>
          </cell>
          <cell r="N8">
            <v>1.9246361961551187E-4</v>
          </cell>
          <cell r="O8">
            <v>6.3512994473118923E-5</v>
          </cell>
          <cell r="P8">
            <v>270812.58</v>
          </cell>
          <cell r="Q8">
            <v>650</v>
          </cell>
          <cell r="R8">
            <v>271462.58</v>
          </cell>
          <cell r="S8">
            <v>2.1686081173343552E-4</v>
          </cell>
          <cell r="T8">
            <v>7.3732675989368084E-5</v>
          </cell>
          <cell r="U8">
            <v>2.7852957491453966E-4</v>
          </cell>
          <cell r="V8">
            <v>1.2533830871154285E-5</v>
          </cell>
          <cell r="W8">
            <v>4.3372162346687105E-6</v>
          </cell>
          <cell r="X8">
            <v>55.026934819492702</v>
          </cell>
          <cell r="Y8">
            <v>7738.0400082961323</v>
          </cell>
          <cell r="Z8">
            <v>3.3509714207133477E-3</v>
          </cell>
          <cell r="AA8">
            <v>8.3774285517833702E-5</v>
          </cell>
          <cell r="AB8">
            <v>2.5471698113207547E-3</v>
          </cell>
          <cell r="AC8">
            <v>4.3561194296131483E-3</v>
          </cell>
        </row>
        <row r="9">
          <cell r="A9">
            <v>5</v>
          </cell>
          <cell r="B9" t="str">
            <v xml:space="preserve">BOKOBA </v>
          </cell>
          <cell r="C9">
            <v>2167</v>
          </cell>
          <cell r="D9">
            <v>9.3369032159103932E-4</v>
          </cell>
          <cell r="E9">
            <v>5.9756180581826523E-4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54.383083000653997</v>
          </cell>
          <cell r="Y9">
            <v>2909.8976904320507</v>
          </cell>
          <cell r="Z9">
            <v>1.2601361568799492E-3</v>
          </cell>
          <cell r="AA9">
            <v>3.1503403921998733E-5</v>
          </cell>
          <cell r="AB9">
            <v>2.5471698113207547E-3</v>
          </cell>
          <cell r="AC9">
            <v>3.1762350210610187E-3</v>
          </cell>
        </row>
        <row r="10">
          <cell r="A10">
            <v>6</v>
          </cell>
          <cell r="B10" t="str">
            <v xml:space="preserve">BUCTZOTZ </v>
          </cell>
          <cell r="C10">
            <v>9159</v>
          </cell>
          <cell r="D10">
            <v>3.9463173306194411E-3</v>
          </cell>
          <cell r="E10">
            <v>2.5256430915964424E-3</v>
          </cell>
          <cell r="F10">
            <v>111676.66</v>
          </cell>
          <cell r="G10">
            <v>197134</v>
          </cell>
          <cell r="H10">
            <v>308810.66000000003</v>
          </cell>
          <cell r="I10">
            <v>2.8631022160354759E-4</v>
          </cell>
          <cell r="J10">
            <v>9.4482373129170717E-5</v>
          </cell>
          <cell r="K10">
            <v>80087</v>
          </cell>
          <cell r="L10">
            <v>97394</v>
          </cell>
          <cell r="M10">
            <v>177481</v>
          </cell>
          <cell r="N10">
            <v>1.6948727888112426E-4</v>
          </cell>
          <cell r="O10">
            <v>5.5930802030771008E-5</v>
          </cell>
          <cell r="P10">
            <v>139023</v>
          </cell>
          <cell r="Q10">
            <v>118617</v>
          </cell>
          <cell r="R10">
            <v>257640</v>
          </cell>
          <cell r="S10">
            <v>2.0581849452326847E-4</v>
          </cell>
          <cell r="T10">
            <v>6.997828813791129E-5</v>
          </cell>
          <cell r="U10">
            <v>2.2039146329785303E-4</v>
          </cell>
          <cell r="V10">
            <v>9.9176158484033863E-6</v>
          </cell>
          <cell r="W10">
            <v>4.1163698904653691E-6</v>
          </cell>
          <cell r="X10">
            <v>54.146130246399998</v>
          </cell>
          <cell r="Y10">
            <v>12614.90535146117</v>
          </cell>
          <cell r="Z10">
            <v>5.4629062737371814E-3</v>
          </cell>
          <cell r="AA10">
            <v>1.3657265684342953E-4</v>
          </cell>
          <cell r="AB10">
            <v>2.5471698113207547E-3</v>
          </cell>
          <cell r="AC10">
            <v>5.2234195454994954E-3</v>
          </cell>
        </row>
        <row r="11">
          <cell r="A11">
            <v>7</v>
          </cell>
          <cell r="B11" t="str">
            <v xml:space="preserve">CACALCHEN </v>
          </cell>
          <cell r="C11">
            <v>7490</v>
          </cell>
          <cell r="D11">
            <v>3.2271991272343724E-3</v>
          </cell>
          <cell r="E11">
            <v>2.0654074414299985E-3</v>
          </cell>
          <cell r="F11">
            <v>64825.5</v>
          </cell>
          <cell r="G11">
            <v>15760</v>
          </cell>
          <cell r="H11">
            <v>80585.5</v>
          </cell>
          <cell r="I11">
            <v>7.4713911634503429E-5</v>
          </cell>
          <cell r="J11">
            <v>2.4655590839386131E-5</v>
          </cell>
          <cell r="K11">
            <v>52111</v>
          </cell>
          <cell r="L11">
            <v>11460</v>
          </cell>
          <cell r="M11">
            <v>63571</v>
          </cell>
          <cell r="N11">
            <v>6.0707770441635721E-5</v>
          </cell>
          <cell r="O11">
            <v>2.0033564245739788E-5</v>
          </cell>
          <cell r="P11">
            <v>61295</v>
          </cell>
          <cell r="Q11">
            <v>18865</v>
          </cell>
          <cell r="R11">
            <v>80160</v>
          </cell>
          <cell r="S11">
            <v>6.4036681109242352E-5</v>
          </cell>
          <cell r="T11">
            <v>2.1772471577142402E-5</v>
          </cell>
          <cell r="U11">
            <v>6.6461626662268328E-5</v>
          </cell>
          <cell r="V11">
            <v>2.9907731998020747E-6</v>
          </cell>
          <cell r="W11">
            <v>1.280733622184847E-6</v>
          </cell>
          <cell r="X11">
            <v>56.256665752072699</v>
          </cell>
          <cell r="Y11">
            <v>8014.5207040716241</v>
          </cell>
          <cell r="Z11">
            <v>3.4707018574814848E-3</v>
          </cell>
          <cell r="AA11">
            <v>8.676754643703713E-5</v>
          </cell>
          <cell r="AB11">
            <v>2.5471698113207547E-3</v>
          </cell>
          <cell r="AC11">
            <v>4.7036163060097773E-3</v>
          </cell>
        </row>
        <row r="12">
          <cell r="A12">
            <v>8</v>
          </cell>
          <cell r="B12" t="str">
            <v xml:space="preserve">CALOTMUL </v>
          </cell>
          <cell r="C12">
            <v>3949</v>
          </cell>
          <cell r="D12">
            <v>1.7014965758943305E-3</v>
          </cell>
          <cell r="E12">
            <v>1.0889578085723716E-3</v>
          </cell>
          <cell r="F12">
            <v>33013.21</v>
          </cell>
          <cell r="G12">
            <v>5525</v>
          </cell>
          <cell r="H12">
            <v>38538.21</v>
          </cell>
          <cell r="I12">
            <v>3.5730254406710093E-5</v>
          </cell>
          <cell r="J12">
            <v>1.1790983954214331E-5</v>
          </cell>
          <cell r="K12">
            <v>36716.720000000001</v>
          </cell>
          <cell r="L12">
            <v>58257</v>
          </cell>
          <cell r="M12">
            <v>94973.72</v>
          </cell>
          <cell r="N12">
            <v>9.069611602378738E-5</v>
          </cell>
          <cell r="O12">
            <v>2.9929718287849837E-5</v>
          </cell>
          <cell r="P12">
            <v>52800.18</v>
          </cell>
          <cell r="Q12">
            <v>4308</v>
          </cell>
          <cell r="R12">
            <v>57108.18</v>
          </cell>
          <cell r="S12">
            <v>4.5621485920524103E-5</v>
          </cell>
          <cell r="T12">
            <v>1.5511305212978197E-5</v>
          </cell>
          <cell r="U12">
            <v>5.7232007455042365E-5</v>
          </cell>
          <cell r="V12">
            <v>2.5754403354769065E-6</v>
          </cell>
          <cell r="W12">
            <v>9.1242971841048207E-7</v>
          </cell>
          <cell r="X12">
            <v>52.119102222447303</v>
          </cell>
          <cell r="Y12">
            <v>6604.5394711096887</v>
          </cell>
          <cell r="Z12">
            <v>2.8601070802081654E-3</v>
          </cell>
          <cell r="AA12">
            <v>7.1502677005204143E-5</v>
          </cell>
          <cell r="AB12">
            <v>2.5471698113207547E-3</v>
          </cell>
          <cell r="AC12">
            <v>3.7111181669522179E-3</v>
          </cell>
        </row>
        <row r="13">
          <cell r="A13">
            <v>9</v>
          </cell>
          <cell r="B13" t="str">
            <v xml:space="preserve">CANSAHCAB </v>
          </cell>
          <cell r="C13">
            <v>4466</v>
          </cell>
          <cell r="D13">
            <v>1.924255180537878E-3</v>
          </cell>
          <cell r="E13">
            <v>1.231523315544242E-3</v>
          </cell>
          <cell r="F13">
            <v>67793</v>
          </cell>
          <cell r="G13">
            <v>39213</v>
          </cell>
          <cell r="H13">
            <v>107006</v>
          </cell>
          <cell r="I13">
            <v>9.9209371764916437E-5</v>
          </cell>
          <cell r="J13">
            <v>3.2739092682422426E-5</v>
          </cell>
          <cell r="K13">
            <v>54723</v>
          </cell>
          <cell r="L13">
            <v>90810</v>
          </cell>
          <cell r="M13">
            <v>145533</v>
          </cell>
          <cell r="N13">
            <v>1.389782126391369E-4</v>
          </cell>
          <cell r="O13">
            <v>4.586281017091518E-5</v>
          </cell>
          <cell r="P13">
            <v>84738</v>
          </cell>
          <cell r="Q13">
            <v>42076</v>
          </cell>
          <cell r="R13">
            <v>126814</v>
          </cell>
          <cell r="S13">
            <v>1.0130673251231861E-4</v>
          </cell>
          <cell r="T13">
            <v>3.4444289054188331E-5</v>
          </cell>
          <cell r="U13">
            <v>1.1304619190752595E-4</v>
          </cell>
          <cell r="V13">
            <v>5.0870786358386673E-6</v>
          </cell>
          <cell r="W13">
            <v>2.0261346502463723E-6</v>
          </cell>
          <cell r="X13">
            <v>53.728510472629701</v>
          </cell>
          <cell r="Y13">
            <v>6422.6835565767215</v>
          </cell>
          <cell r="Z13">
            <v>2.7813540663139081E-3</v>
          </cell>
          <cell r="AA13">
            <v>6.9533851657847706E-5</v>
          </cell>
          <cell r="AB13">
            <v>2.5471698113207547E-3</v>
          </cell>
          <cell r="AC13">
            <v>3.8553401918089295E-3</v>
          </cell>
        </row>
        <row r="14">
          <cell r="A14">
            <v>10</v>
          </cell>
          <cell r="B14" t="str">
            <v xml:space="preserve">CANTAMAYEC </v>
          </cell>
          <cell r="C14">
            <v>2755</v>
          </cell>
          <cell r="D14">
            <v>1.1870405334486909E-3</v>
          </cell>
          <cell r="E14">
            <v>7.5970594140716224E-4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49.061852249180603</v>
          </cell>
          <cell r="Y14">
            <v>5833.9723309906803</v>
          </cell>
          <cell r="Z14">
            <v>2.5264116661871425E-3</v>
          </cell>
          <cell r="AA14">
            <v>6.3160291654678569E-5</v>
          </cell>
          <cell r="AB14">
            <v>2.5471698113207547E-3</v>
          </cell>
          <cell r="AC14">
            <v>3.3700360443825956E-3</v>
          </cell>
        </row>
        <row r="15">
          <cell r="A15">
            <v>11</v>
          </cell>
          <cell r="B15" t="str">
            <v xml:space="preserve">CELESTUN </v>
          </cell>
          <cell r="C15">
            <v>8389</v>
          </cell>
          <cell r="D15">
            <v>3.6145491960439449E-3</v>
          </cell>
          <cell r="E15">
            <v>2.3133114854681247E-3</v>
          </cell>
          <cell r="F15">
            <v>530347.30000000005</v>
          </cell>
          <cell r="G15">
            <v>23110</v>
          </cell>
          <cell r="H15">
            <v>553457.30000000005</v>
          </cell>
          <cell r="I15">
            <v>5.1313151628606707E-4</v>
          </cell>
          <cell r="J15">
            <v>1.6933340037440214E-4</v>
          </cell>
          <cell r="K15">
            <v>382911.11</v>
          </cell>
          <cell r="L15">
            <v>37000</v>
          </cell>
          <cell r="M15">
            <v>419911.11</v>
          </cell>
          <cell r="N15">
            <v>4.0099836830901584E-4</v>
          </cell>
          <cell r="O15">
            <v>1.3232946154197522E-4</v>
          </cell>
          <cell r="P15">
            <v>300492.55</v>
          </cell>
          <cell r="Q15">
            <v>8900</v>
          </cell>
          <cell r="R15">
            <v>309392.55</v>
          </cell>
          <cell r="S15">
            <v>2.4716157761882883E-4</v>
          </cell>
          <cell r="T15">
            <v>8.4034936390401811E-5</v>
          </cell>
          <cell r="U15">
            <v>3.8569779830677919E-4</v>
          </cell>
          <cell r="V15">
            <v>1.7356400923805065E-5</v>
          </cell>
          <cell r="W15">
            <v>4.9432315523765769E-6</v>
          </cell>
          <cell r="X15">
            <v>55.201169409642802</v>
          </cell>
          <cell r="Y15">
            <v>10265.70095815694</v>
          </cell>
          <cell r="Z15">
            <v>4.4455793052882156E-3</v>
          </cell>
          <cell r="AA15">
            <v>1.1113948263220539E-4</v>
          </cell>
          <cell r="AB15">
            <v>2.5471698113207547E-3</v>
          </cell>
          <cell r="AC15">
            <v>4.9939204118972669E-3</v>
          </cell>
        </row>
        <row r="16">
          <cell r="A16">
            <v>12</v>
          </cell>
          <cell r="B16" t="str">
            <v xml:space="preserve">CENOTILLO </v>
          </cell>
          <cell r="C16">
            <v>3736</v>
          </cell>
          <cell r="D16">
            <v>1.609721754252018E-3</v>
          </cell>
          <cell r="E16">
            <v>1.0302219227212915E-3</v>
          </cell>
          <cell r="F16">
            <v>216144.5</v>
          </cell>
          <cell r="G16">
            <v>168126</v>
          </cell>
          <cell r="H16">
            <v>384270.5</v>
          </cell>
          <cell r="I16">
            <v>3.5627193702026359E-4</v>
          </cell>
          <cell r="J16">
            <v>1.1756973921668699E-4</v>
          </cell>
          <cell r="K16">
            <v>306413</v>
          </cell>
          <cell r="L16">
            <v>222517</v>
          </cell>
          <cell r="M16">
            <v>528930</v>
          </cell>
          <cell r="N16">
            <v>5.0510706170572091E-4</v>
          </cell>
          <cell r="O16">
            <v>1.6668533036288792E-4</v>
          </cell>
          <cell r="P16">
            <v>438760</v>
          </cell>
          <cell r="Q16">
            <v>223756</v>
          </cell>
          <cell r="R16">
            <v>662516</v>
          </cell>
          <cell r="S16">
            <v>5.2925805665881751E-4</v>
          </cell>
          <cell r="T16">
            <v>1.7994773926399796E-4</v>
          </cell>
          <cell r="U16">
            <v>4.6420280884357289E-4</v>
          </cell>
          <cell r="V16">
            <v>2.0889126397960779E-5</v>
          </cell>
          <cell r="W16">
            <v>1.0585161133176351E-5</v>
          </cell>
          <cell r="X16">
            <v>53.734002402342497</v>
          </cell>
          <cell r="Y16">
            <v>5369.862078817926</v>
          </cell>
          <cell r="Z16">
            <v>2.3254279300700411E-3</v>
          </cell>
          <cell r="AA16">
            <v>5.8135698251751027E-5</v>
          </cell>
          <cell r="AB16">
            <v>2.5471698113207547E-3</v>
          </cell>
          <cell r="AC16">
            <v>3.6670017198249345E-3</v>
          </cell>
        </row>
        <row r="17">
          <cell r="A17">
            <v>13</v>
          </cell>
          <cell r="B17" t="str">
            <v xml:space="preserve">CONKAL </v>
          </cell>
          <cell r="C17">
            <v>16671</v>
          </cell>
          <cell r="D17">
            <v>7.1829955474131133E-3</v>
          </cell>
          <cell r="E17">
            <v>4.5971171503443927E-3</v>
          </cell>
          <cell r="F17">
            <v>1947092.82</v>
          </cell>
          <cell r="G17">
            <v>646498.4</v>
          </cell>
          <cell r="H17">
            <v>2593591.2200000002</v>
          </cell>
          <cell r="I17">
            <v>2.4046180172252324E-3</v>
          </cell>
          <cell r="J17">
            <v>7.9352394568432672E-4</v>
          </cell>
          <cell r="K17">
            <v>5209291.54</v>
          </cell>
          <cell r="L17">
            <v>2121109.84</v>
          </cell>
          <cell r="M17">
            <v>7330401.3799999999</v>
          </cell>
          <cell r="N17">
            <v>7.0002410568040414E-3</v>
          </cell>
          <cell r="O17">
            <v>2.3100795487453339E-3</v>
          </cell>
          <cell r="P17">
            <v>9123211.2799999993</v>
          </cell>
          <cell r="Q17">
            <v>620168.62</v>
          </cell>
          <cell r="R17">
            <v>9743379.8999999985</v>
          </cell>
          <cell r="S17">
            <v>7.7836041864084524E-3</v>
          </cell>
          <cell r="T17">
            <v>2.6464254233788741E-3</v>
          </cell>
          <cell r="U17">
            <v>5.7500289178085348E-3</v>
          </cell>
          <cell r="V17">
            <v>2.5875130130138406E-4</v>
          </cell>
          <cell r="W17">
            <v>1.5567208372816905E-4</v>
          </cell>
          <cell r="X17">
            <v>58.883084195099201</v>
          </cell>
          <cell r="Y17">
            <v>11463.362052637745</v>
          </cell>
          <cell r="Z17">
            <v>4.9642284845380861E-3</v>
          </cell>
          <cell r="AA17">
            <v>1.2410571211345217E-4</v>
          </cell>
          <cell r="AB17">
            <v>2.5471698113207547E-3</v>
          </cell>
          <cell r="AC17">
            <v>7.6828160588081522E-3</v>
          </cell>
        </row>
        <row r="18">
          <cell r="A18">
            <v>14</v>
          </cell>
          <cell r="B18" t="str">
            <v xml:space="preserve">CUNCUNUL </v>
          </cell>
          <cell r="C18">
            <v>1714</v>
          </cell>
          <cell r="D18">
            <v>7.3850725021090973E-4</v>
          </cell>
          <cell r="E18">
            <v>4.7264464013498222E-4</v>
          </cell>
          <cell r="F18">
            <v>13788</v>
          </cell>
          <cell r="G18">
            <v>4215</v>
          </cell>
          <cell r="H18">
            <v>18003</v>
          </cell>
          <cell r="I18">
            <v>1.6691272637831436E-5</v>
          </cell>
          <cell r="J18">
            <v>5.5081199704843742E-6</v>
          </cell>
          <cell r="K18">
            <v>31363</v>
          </cell>
          <cell r="L18">
            <v>800</v>
          </cell>
          <cell r="M18">
            <v>32163</v>
          </cell>
          <cell r="N18">
            <v>3.071438266999622E-5</v>
          </cell>
          <cell r="O18">
            <v>1.0135746281098754E-5</v>
          </cell>
          <cell r="P18">
            <v>37804</v>
          </cell>
          <cell r="Q18">
            <v>450</v>
          </cell>
          <cell r="R18">
            <v>38254</v>
          </cell>
          <cell r="S18">
            <v>3.0559620747916133E-5</v>
          </cell>
          <cell r="T18">
            <v>1.0390271054291487E-5</v>
          </cell>
          <cell r="U18">
            <v>2.6034137305874615E-5</v>
          </cell>
          <cell r="V18">
            <v>1.1715361787643577E-6</v>
          </cell>
          <cell r="W18">
            <v>6.1119241495832268E-7</v>
          </cell>
          <cell r="X18">
            <v>52.603119206433099</v>
          </cell>
          <cell r="Y18">
            <v>2745.8037358332836</v>
          </cell>
          <cell r="Z18">
            <v>1.1890749900233849E-3</v>
          </cell>
          <cell r="AA18">
            <v>2.9726874750584623E-5</v>
          </cell>
          <cell r="AB18">
            <v>2.5471698113207547E-3</v>
          </cell>
          <cell r="AC18">
            <v>3.0513240548000441E-3</v>
          </cell>
        </row>
        <row r="19">
          <cell r="A19">
            <v>15</v>
          </cell>
          <cell r="B19" t="str">
            <v xml:space="preserve">CUZAMA </v>
          </cell>
          <cell r="C19">
            <v>5560</v>
          </cell>
          <cell r="D19">
            <v>2.3956244522594272E-3</v>
          </cell>
          <cell r="E19">
            <v>1.5331996494460335E-3</v>
          </cell>
          <cell r="F19">
            <v>19150</v>
          </cell>
          <cell r="G19">
            <v>0</v>
          </cell>
          <cell r="H19">
            <v>19150</v>
          </cell>
          <cell r="I19">
            <v>1.7754700384073322E-5</v>
          </cell>
          <cell r="J19">
            <v>5.8590511267441967E-6</v>
          </cell>
          <cell r="K19">
            <v>20500</v>
          </cell>
          <cell r="L19">
            <v>0</v>
          </cell>
          <cell r="M19">
            <v>20500</v>
          </cell>
          <cell r="N19">
            <v>1.9576682670612894E-5</v>
          </cell>
          <cell r="O19">
            <v>6.460305281302255E-6</v>
          </cell>
          <cell r="P19">
            <v>21650</v>
          </cell>
          <cell r="Q19">
            <v>0</v>
          </cell>
          <cell r="R19">
            <v>21650</v>
          </cell>
          <cell r="S19">
            <v>1.7295336152882947E-5</v>
          </cell>
          <cell r="T19">
            <v>5.8804142919802025E-6</v>
          </cell>
          <cell r="U19">
            <v>1.8199770700026655E-5</v>
          </cell>
          <cell r="V19">
            <v>8.1898968150119941E-7</v>
          </cell>
          <cell r="W19">
            <v>3.4590672305765894E-7</v>
          </cell>
          <cell r="X19">
            <v>51.711242823354397</v>
          </cell>
          <cell r="Y19">
            <v>9629.0473297529661</v>
          </cell>
          <cell r="Z19">
            <v>4.1698753658684275E-3</v>
          </cell>
          <cell r="AA19">
            <v>1.042468841467107E-4</v>
          </cell>
          <cell r="AB19">
            <v>2.5471698113207547E-3</v>
          </cell>
          <cell r="AC19">
            <v>4.1857812413180571E-3</v>
          </cell>
        </row>
        <row r="20">
          <cell r="A20">
            <v>16</v>
          </cell>
          <cell r="B20" t="str">
            <v xml:space="preserve">CHACSINKIN </v>
          </cell>
          <cell r="C20">
            <v>3104</v>
          </cell>
          <cell r="D20">
            <v>1.3374133632757666E-3</v>
          </cell>
          <cell r="E20">
            <v>8.559445524964907E-4</v>
          </cell>
          <cell r="F20">
            <v>0</v>
          </cell>
          <cell r="G20">
            <v>23390</v>
          </cell>
          <cell r="H20">
            <v>23390</v>
          </cell>
          <cell r="I20">
            <v>2.1685767205403394E-5</v>
          </cell>
          <cell r="J20">
            <v>7.1563031777831205E-6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7.1563031777831205E-6</v>
          </cell>
          <cell r="V20">
            <v>3.2203364300024041E-7</v>
          </cell>
          <cell r="W20">
            <v>0</v>
          </cell>
          <cell r="X20">
            <v>52.303856046019497</v>
          </cell>
          <cell r="Y20">
            <v>5107.8137693074341</v>
          </cell>
          <cell r="Z20">
            <v>2.211947462784468E-3</v>
          </cell>
          <cell r="AA20">
            <v>5.5298686569611701E-5</v>
          </cell>
          <cell r="AB20">
            <v>2.5471698113207547E-3</v>
          </cell>
          <cell r="AC20">
            <v>3.4587350840298574E-3</v>
          </cell>
        </row>
        <row r="21">
          <cell r="A21">
            <v>17</v>
          </cell>
          <cell r="B21" t="str">
            <v xml:space="preserve">CHANKOM </v>
          </cell>
          <cell r="C21">
            <v>4686</v>
          </cell>
          <cell r="D21">
            <v>2.0190460761308768E-3</v>
          </cell>
          <cell r="E21">
            <v>1.2921894887237611E-3</v>
          </cell>
          <cell r="F21">
            <v>9000</v>
          </cell>
          <cell r="G21">
            <v>0</v>
          </cell>
          <cell r="H21">
            <v>9000</v>
          </cell>
          <cell r="I21">
            <v>8.3442456113138325E-6</v>
          </cell>
          <cell r="J21">
            <v>2.7536010517335647E-6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2.7536010517335647E-6</v>
          </cell>
          <cell r="V21">
            <v>1.239120473280104E-7</v>
          </cell>
          <cell r="W21">
            <v>0</v>
          </cell>
          <cell r="X21">
            <v>49.888448401560701</v>
          </cell>
          <cell r="Y21">
            <v>9359.0756030657139</v>
          </cell>
          <cell r="Z21">
            <v>4.052963649263228E-3</v>
          </cell>
          <cell r="AA21">
            <v>1.013240912315807E-4</v>
          </cell>
          <cell r="AB21">
            <v>2.5471698113207547E-3</v>
          </cell>
          <cell r="AC21">
            <v>3.9408073033234247E-3</v>
          </cell>
        </row>
        <row r="22">
          <cell r="A22">
            <v>18</v>
          </cell>
          <cell r="B22" t="str">
            <v>CHAPAB</v>
          </cell>
          <cell r="C22">
            <v>3385</v>
          </cell>
          <cell r="D22">
            <v>1.4584871890104606E-3</v>
          </cell>
          <cell r="E22">
            <v>9.3343180096669474E-4</v>
          </cell>
          <cell r="F22">
            <v>4600</v>
          </cell>
          <cell r="G22">
            <v>0</v>
          </cell>
          <cell r="H22">
            <v>4600</v>
          </cell>
          <cell r="I22">
            <v>4.2648366457826255E-6</v>
          </cell>
          <cell r="J22">
            <v>1.4073960931082665E-6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1.4073960931082665E-6</v>
          </cell>
          <cell r="V22">
            <v>6.333282418987199E-8</v>
          </cell>
          <cell r="W22">
            <v>0</v>
          </cell>
          <cell r="X22">
            <v>52.576072279621599</v>
          </cell>
          <cell r="Y22">
            <v>5436.0523205548143</v>
          </cell>
          <cell r="Z22">
            <v>2.3540917271236386E-3</v>
          </cell>
          <cell r="AA22">
            <v>5.8852293178090967E-5</v>
          </cell>
          <cell r="AB22">
            <v>2.5471698113207547E-3</v>
          </cell>
          <cell r="AC22">
            <v>3.5395172382897302E-3</v>
          </cell>
        </row>
        <row r="23">
          <cell r="A23">
            <v>19</v>
          </cell>
          <cell r="B23" t="str">
            <v xml:space="preserve">CHEMAX </v>
          </cell>
          <cell r="C23">
            <v>38934</v>
          </cell>
          <cell r="D23">
            <v>1.6775403313717362E-2</v>
          </cell>
          <cell r="E23">
            <v>1.0736258120779113E-2</v>
          </cell>
          <cell r="F23">
            <v>31861</v>
          </cell>
          <cell r="G23">
            <v>500</v>
          </cell>
          <cell r="H23">
            <v>32361</v>
          </cell>
          <cell r="I23">
            <v>3.0003125803080769E-5</v>
          </cell>
          <cell r="J23">
            <v>9.9010315150166542E-6</v>
          </cell>
          <cell r="K23">
            <v>34106</v>
          </cell>
          <cell r="L23">
            <v>37700</v>
          </cell>
          <cell r="M23">
            <v>71806</v>
          </cell>
          <cell r="N23">
            <v>6.8571867114440463E-5</v>
          </cell>
          <cell r="O23">
            <v>2.2628716147765355E-5</v>
          </cell>
          <cell r="P23">
            <v>31340</v>
          </cell>
          <cell r="Q23">
            <v>13200</v>
          </cell>
          <cell r="R23">
            <v>44540</v>
          </cell>
          <cell r="S23">
            <v>3.5581259688194292E-5</v>
          </cell>
          <cell r="T23">
            <v>1.209762829398606E-5</v>
          </cell>
          <cell r="U23">
            <v>4.4627375956768069E-5</v>
          </cell>
          <cell r="V23">
            <v>2.008231918054563E-6</v>
          </cell>
          <cell r="W23">
            <v>7.1162519376388587E-7</v>
          </cell>
          <cell r="X23">
            <v>48.7793371874385</v>
          </cell>
          <cell r="Y23">
            <v>84047.935633485569</v>
          </cell>
          <cell r="Z23">
            <v>3.6397101846954785E-2</v>
          </cell>
          <cell r="AA23">
            <v>9.0992754617386963E-4</v>
          </cell>
          <cell r="AB23">
            <v>2.5471698113207547E-3</v>
          </cell>
          <cell r="AC23">
            <v>1.4196075335385555E-2</v>
          </cell>
        </row>
        <row r="24">
          <cell r="A24">
            <v>20</v>
          </cell>
          <cell r="B24" t="str">
            <v xml:space="preserve">CHICXULUB PUEBLO </v>
          </cell>
          <cell r="C24">
            <v>4497</v>
          </cell>
          <cell r="D24">
            <v>1.937612079462346E-3</v>
          </cell>
          <cell r="E24">
            <v>1.2400717308559015E-3</v>
          </cell>
          <cell r="F24">
            <v>264386.34000000003</v>
          </cell>
          <cell r="G24">
            <v>327538.09999999998</v>
          </cell>
          <cell r="H24">
            <v>591924.43999999994</v>
          </cell>
          <cell r="I24">
            <v>5.4879587896659973E-4</v>
          </cell>
          <cell r="J24">
            <v>1.8110264005897792E-4</v>
          </cell>
          <cell r="K24">
            <v>306826.23999999999</v>
          </cell>
          <cell r="L24">
            <v>312741</v>
          </cell>
          <cell r="M24">
            <v>619567.24</v>
          </cell>
          <cell r="N24">
            <v>5.9166201222377859E-4</v>
          </cell>
          <cell r="O24">
            <v>1.9524846403384694E-4</v>
          </cell>
          <cell r="P24">
            <v>432755.16</v>
          </cell>
          <cell r="Q24">
            <v>296476.83</v>
          </cell>
          <cell r="R24">
            <v>729231.99</v>
          </cell>
          <cell r="S24">
            <v>5.8255484528802652E-4</v>
          </cell>
          <cell r="T24">
            <v>1.9806864739792902E-4</v>
          </cell>
          <cell r="U24">
            <v>5.7441975149075391E-4</v>
          </cell>
          <cell r="V24">
            <v>2.5848888817083925E-5</v>
          </cell>
          <cell r="W24">
            <v>1.165109690576053E-5</v>
          </cell>
          <cell r="X24">
            <v>55.688963939236402</v>
          </cell>
          <cell r="Y24">
            <v>5183.6327664609616</v>
          </cell>
          <cell r="Z24">
            <v>2.2447810087904627E-3</v>
          </cell>
          <cell r="AA24">
            <v>5.6119525219761572E-5</v>
          </cell>
          <cell r="AB24">
            <v>2.5471698113207547E-3</v>
          </cell>
          <cell r="AC24">
            <v>3.8808610531192622E-3</v>
          </cell>
        </row>
        <row r="25">
          <cell r="A25">
            <v>21</v>
          </cell>
          <cell r="B25" t="str">
            <v xml:space="preserve">CHICHIMILA </v>
          </cell>
          <cell r="C25">
            <v>9406</v>
          </cell>
          <cell r="D25">
            <v>4.052741654307945E-3</v>
          </cell>
          <cell r="E25">
            <v>2.5937546587570847E-3</v>
          </cell>
          <cell r="F25">
            <v>15078</v>
          </cell>
          <cell r="G25">
            <v>3800</v>
          </cell>
          <cell r="H25">
            <v>18878</v>
          </cell>
          <cell r="I25">
            <v>1.7502518738931394E-5</v>
          </cell>
          <cell r="J25">
            <v>5.7758311838473599E-6</v>
          </cell>
          <cell r="K25">
            <v>7492</v>
          </cell>
          <cell r="L25">
            <v>0</v>
          </cell>
          <cell r="M25">
            <v>7492</v>
          </cell>
          <cell r="N25">
            <v>7.1545612960113082E-6</v>
          </cell>
          <cell r="O25">
            <v>2.3610052276837317E-6</v>
          </cell>
          <cell r="P25">
            <v>37901.800000000003</v>
          </cell>
          <cell r="Q25">
            <v>4460</v>
          </cell>
          <cell r="R25">
            <v>42361.8</v>
          </cell>
          <cell r="S25">
            <v>3.3841181110447891E-5</v>
          </cell>
          <cell r="T25">
            <v>1.1506001577552284E-5</v>
          </cell>
          <cell r="U25">
            <v>1.9642837989083377E-5</v>
          </cell>
          <cell r="V25">
            <v>8.8392770950875187E-7</v>
          </cell>
          <cell r="W25">
            <v>6.7682362220895779E-7</v>
          </cell>
          <cell r="X25">
            <v>50.171329232292102</v>
          </cell>
          <cell r="Y25">
            <v>18398.648286298398</v>
          </cell>
          <cell r="Z25">
            <v>7.9675660142675096E-3</v>
          </cell>
          <cell r="AA25">
            <v>1.9918915035668775E-4</v>
          </cell>
          <cell r="AB25">
            <v>2.5471698113207547E-3</v>
          </cell>
          <cell r="AC25">
            <v>5.3416743717662448E-3</v>
          </cell>
        </row>
        <row r="26">
          <cell r="A26">
            <v>22</v>
          </cell>
          <cell r="B26" t="str">
            <v xml:space="preserve">CHIKINDZONOT </v>
          </cell>
          <cell r="C26">
            <v>4363</v>
          </cell>
          <cell r="D26">
            <v>1.879875806692065E-3</v>
          </cell>
          <cell r="E26">
            <v>1.2031205162829216E-3</v>
          </cell>
          <cell r="F26">
            <v>450</v>
          </cell>
          <cell r="G26">
            <v>0</v>
          </cell>
          <cell r="H26">
            <v>450</v>
          </cell>
          <cell r="I26">
            <v>4.1721228056569162E-7</v>
          </cell>
          <cell r="J26">
            <v>1.3768005258667824E-7</v>
          </cell>
          <cell r="K26">
            <v>496</v>
          </cell>
          <cell r="L26">
            <v>0</v>
          </cell>
          <cell r="M26">
            <v>496</v>
          </cell>
          <cell r="N26">
            <v>4.7366022461580469E-7</v>
          </cell>
          <cell r="O26">
            <v>1.5630787412321555E-7</v>
          </cell>
          <cell r="P26">
            <v>496</v>
          </cell>
          <cell r="Q26">
            <v>0</v>
          </cell>
          <cell r="R26">
            <v>496</v>
          </cell>
          <cell r="S26">
            <v>3.9623495297135987E-7</v>
          </cell>
          <cell r="T26">
            <v>1.3471988401026237E-7</v>
          </cell>
          <cell r="U26">
            <v>4.2870781072015612E-7</v>
          </cell>
          <cell r="V26">
            <v>1.9291851482407025E-8</v>
          </cell>
          <cell r="W26">
            <v>7.9246990594271978E-9</v>
          </cell>
          <cell r="X26">
            <v>49.088945837836199</v>
          </cell>
          <cell r="Y26">
            <v>9221.8527074662015</v>
          </cell>
          <cell r="Z26">
            <v>3.9935390403275667E-3</v>
          </cell>
          <cell r="AA26">
            <v>9.983847600818918E-5</v>
          </cell>
          <cell r="AB26">
            <v>2.5471698113207547E-3</v>
          </cell>
          <cell r="AC26">
            <v>3.8501560201624073E-3</v>
          </cell>
        </row>
        <row r="27">
          <cell r="A27">
            <v>23</v>
          </cell>
          <cell r="B27" t="str">
            <v xml:space="preserve">CHOCHOLA </v>
          </cell>
          <cell r="C27">
            <v>4863</v>
          </cell>
          <cell r="D27">
            <v>2.095309660312517E-3</v>
          </cell>
          <cell r="E27">
            <v>1.3409981826000108E-3</v>
          </cell>
          <cell r="F27">
            <v>105261.8</v>
          </cell>
          <cell r="G27">
            <v>16020</v>
          </cell>
          <cell r="H27">
            <v>121281.8</v>
          </cell>
          <cell r="I27">
            <v>1.1244501415358245E-4</v>
          </cell>
          <cell r="J27">
            <v>3.7106854670682208E-5</v>
          </cell>
          <cell r="K27">
            <v>67210.59</v>
          </cell>
          <cell r="L27">
            <v>5350</v>
          </cell>
          <cell r="M27">
            <v>72560.59</v>
          </cell>
          <cell r="N27">
            <v>6.9292470479143762E-5</v>
          </cell>
          <cell r="O27">
            <v>2.2866515258117444E-5</v>
          </cell>
          <cell r="P27">
            <v>59091.25</v>
          </cell>
          <cell r="Q27">
            <v>3735</v>
          </cell>
          <cell r="R27">
            <v>62826.25</v>
          </cell>
          <cell r="S27">
            <v>5.0189427851042135E-5</v>
          </cell>
          <cell r="T27">
            <v>1.7064405469354328E-5</v>
          </cell>
          <cell r="U27">
            <v>7.7037775398153984E-5</v>
          </cell>
          <cell r="V27">
            <v>3.4666998929169291E-6</v>
          </cell>
          <cell r="W27">
            <v>1.0037885570208426E-6</v>
          </cell>
          <cell r="X27">
            <v>54.827067853042699</v>
          </cell>
          <cell r="Y27">
            <v>6215.7840908631242</v>
          </cell>
          <cell r="Z27">
            <v>2.6917558998759204E-3</v>
          </cell>
          <cell r="AA27">
            <v>6.7293897496898016E-5</v>
          </cell>
          <cell r="AB27">
            <v>2.5471698113207547E-3</v>
          </cell>
          <cell r="AC27">
            <v>3.9599323798676011E-3</v>
          </cell>
        </row>
        <row r="28">
          <cell r="A28">
            <v>24</v>
          </cell>
          <cell r="B28" t="str">
            <v xml:space="preserve">CHUMAYEL </v>
          </cell>
          <cell r="C28">
            <v>3244</v>
          </cell>
          <cell r="D28">
            <v>1.397734842289493E-3</v>
          </cell>
          <cell r="E28">
            <v>8.9455029906527551E-4</v>
          </cell>
          <cell r="F28">
            <v>1150</v>
          </cell>
          <cell r="G28">
            <v>0</v>
          </cell>
          <cell r="H28">
            <v>1150</v>
          </cell>
          <cell r="I28">
            <v>1.0662091614456564E-6</v>
          </cell>
          <cell r="J28">
            <v>3.5184902327706661E-7</v>
          </cell>
          <cell r="K28">
            <v>5750</v>
          </cell>
          <cell r="L28">
            <v>0</v>
          </cell>
          <cell r="M28">
            <v>5750</v>
          </cell>
          <cell r="N28">
            <v>5.4910207490743485E-6</v>
          </cell>
          <cell r="O28">
            <v>1.812036847194535E-6</v>
          </cell>
          <cell r="P28">
            <v>3900</v>
          </cell>
          <cell r="Q28">
            <v>0</v>
          </cell>
          <cell r="R28">
            <v>3900</v>
          </cell>
          <cell r="S28">
            <v>3.1155570898957733E-6</v>
          </cell>
          <cell r="T28">
            <v>1.059289410564563E-6</v>
          </cell>
          <cell r="U28">
            <v>3.2231752810361644E-6</v>
          </cell>
          <cell r="V28">
            <v>1.4504288764662738E-7</v>
          </cell>
          <cell r="W28">
            <v>6.2311141797915469E-8</v>
          </cell>
          <cell r="X28">
            <v>51.226445609730597</v>
          </cell>
          <cell r="Y28">
            <v>5847.0813603601373</v>
          </cell>
          <cell r="Z28">
            <v>2.5320885537094668E-3</v>
          </cell>
          <cell r="AA28">
            <v>6.3302213842736675E-5</v>
          </cell>
          <cell r="AB28">
            <v>2.5471698113207547E-3</v>
          </cell>
          <cell r="AC28">
            <v>3.5052296782582112E-3</v>
          </cell>
        </row>
        <row r="29">
          <cell r="A29">
            <v>25</v>
          </cell>
          <cell r="B29" t="str">
            <v xml:space="preserve">DZAN </v>
          </cell>
          <cell r="C29">
            <v>6003</v>
          </cell>
          <cell r="D29">
            <v>2.5864988465671476E-3</v>
          </cell>
          <cell r="E29">
            <v>1.6553592618029744E-3</v>
          </cell>
          <cell r="F29">
            <v>7190</v>
          </cell>
          <cell r="G29">
            <v>14311</v>
          </cell>
          <cell r="H29">
            <v>21501</v>
          </cell>
          <cell r="I29">
            <v>1.9934402765428745E-5</v>
          </cell>
          <cell r="J29">
            <v>6.5783529125914863E-6</v>
          </cell>
          <cell r="K29">
            <v>8330</v>
          </cell>
          <cell r="L29">
            <v>7310</v>
          </cell>
          <cell r="M29">
            <v>15640</v>
          </cell>
          <cell r="N29">
            <v>1.4935576437482228E-5</v>
          </cell>
          <cell r="O29">
            <v>4.9287402243691354E-6</v>
          </cell>
          <cell r="P29">
            <v>10850.04</v>
          </cell>
          <cell r="Q29">
            <v>2760</v>
          </cell>
          <cell r="R29">
            <v>13610.04</v>
          </cell>
          <cell r="S29">
            <v>1.0872527337375659E-5</v>
          </cell>
          <cell r="T29">
            <v>3.6966592947077245E-6</v>
          </cell>
          <cell r="U29">
            <v>1.5203752431668346E-5</v>
          </cell>
          <cell r="V29">
            <v>6.841688594250756E-7</v>
          </cell>
          <cell r="W29">
            <v>2.1745054674751319E-7</v>
          </cell>
          <cell r="X29">
            <v>54.958322962571401</v>
          </cell>
          <cell r="Y29">
            <v>7558.1862644275643</v>
          </cell>
          <cell r="Z29">
            <v>3.2730854502394662E-3</v>
          </cell>
          <cell r="AA29">
            <v>8.1827136255986665E-5</v>
          </cell>
          <cell r="AB29">
            <v>2.5471698113207547E-3</v>
          </cell>
          <cell r="AC29">
            <v>4.2852578287858878E-3</v>
          </cell>
        </row>
        <row r="30">
          <cell r="A30">
            <v>26</v>
          </cell>
          <cell r="B30" t="str">
            <v xml:space="preserve">DZEMUL </v>
          </cell>
          <cell r="C30">
            <v>3622</v>
          </cell>
          <cell r="D30">
            <v>1.5606028356265548E-3</v>
          </cell>
          <cell r="E30">
            <v>9.987858148009952E-4</v>
          </cell>
          <cell r="F30">
            <v>1195367.3999999999</v>
          </cell>
          <cell r="G30">
            <v>0</v>
          </cell>
          <cell r="H30">
            <v>1195367.3999999999</v>
          </cell>
          <cell r="I30">
            <v>1.1082710201508472E-3</v>
          </cell>
          <cell r="J30">
            <v>3.6572943664977961E-4</v>
          </cell>
          <cell r="K30">
            <v>1511205.98</v>
          </cell>
          <cell r="L30">
            <v>0</v>
          </cell>
          <cell r="M30">
            <v>1511205.98</v>
          </cell>
          <cell r="N30">
            <v>1.4431414595313453E-3</v>
          </cell>
          <cell r="O30">
            <v>4.7623668164534396E-4</v>
          </cell>
          <cell r="P30">
            <v>4932175.8899999997</v>
          </cell>
          <cell r="Q30">
            <v>0</v>
          </cell>
          <cell r="R30">
            <v>4932175.8899999997</v>
          </cell>
          <cell r="S30">
            <v>3.9401219391544855E-3</v>
          </cell>
          <cell r="T30">
            <v>1.3396414593125252E-3</v>
          </cell>
          <cell r="U30">
            <v>2.1816075776076487E-3</v>
          </cell>
          <cell r="V30">
            <v>9.8172340992344192E-5</v>
          </cell>
          <cell r="W30">
            <v>7.8802438783089705E-5</v>
          </cell>
          <cell r="X30">
            <v>55.088869679474499</v>
          </cell>
          <cell r="Y30">
            <v>4491.4994014493486</v>
          </cell>
          <cell r="Z30">
            <v>1.9450514748271489E-3</v>
          </cell>
          <cell r="AA30">
            <v>4.8626286870678726E-5</v>
          </cell>
          <cell r="AB30">
            <v>2.5471698113207547E-3</v>
          </cell>
          <cell r="AC30">
            <v>3.7715566927678627E-3</v>
          </cell>
        </row>
        <row r="31">
          <cell r="A31">
            <v>27</v>
          </cell>
          <cell r="B31" t="str">
            <v xml:space="preserve">DZIDZANTUN </v>
          </cell>
          <cell r="C31">
            <v>8345</v>
          </cell>
          <cell r="D31">
            <v>3.5955910169253452E-3</v>
          </cell>
          <cell r="E31">
            <v>2.301178250832221E-3</v>
          </cell>
          <cell r="F31">
            <v>1112505</v>
          </cell>
          <cell r="G31">
            <v>7333</v>
          </cell>
          <cell r="H31">
            <v>1119838</v>
          </cell>
          <cell r="I31">
            <v>1.0382448129869399E-3</v>
          </cell>
          <cell r="J31">
            <v>3.4262078828569022E-4</v>
          </cell>
          <cell r="K31">
            <v>909097.5</v>
          </cell>
          <cell r="L31">
            <v>38700</v>
          </cell>
          <cell r="M31">
            <v>947797.5</v>
          </cell>
          <cell r="N31">
            <v>9.0510882407318172E-4</v>
          </cell>
          <cell r="O31">
            <v>2.9868591194415E-4</v>
          </cell>
          <cell r="P31">
            <v>1365392.4</v>
          </cell>
          <cell r="Q31">
            <v>19050</v>
          </cell>
          <cell r="R31">
            <v>1384442.4</v>
          </cell>
          <cell r="S31">
            <v>1.1059767525313641E-3</v>
          </cell>
          <cell r="T31">
            <v>3.760320958606638E-4</v>
          </cell>
          <cell r="U31">
            <v>1.0173387960905039E-3</v>
          </cell>
          <cell r="V31">
            <v>4.5780245824072671E-5</v>
          </cell>
          <cell r="W31">
            <v>2.2119535050627281E-5</v>
          </cell>
          <cell r="X31">
            <v>56.710971441663801</v>
          </cell>
          <cell r="Y31">
            <v>8377.3999472923424</v>
          </cell>
          <cell r="Z31">
            <v>3.6278473325499798E-3</v>
          </cell>
          <cell r="AA31">
            <v>9.0696183313749502E-5</v>
          </cell>
          <cell r="AB31">
            <v>2.5471698113207547E-3</v>
          </cell>
          <cell r="AC31">
            <v>5.0069440263414249E-3</v>
          </cell>
        </row>
        <row r="32">
          <cell r="A32">
            <v>28</v>
          </cell>
          <cell r="B32" t="str">
            <v xml:space="preserve">DZILAM DE BRAVO </v>
          </cell>
          <cell r="C32">
            <v>2936</v>
          </cell>
          <cell r="D32">
            <v>1.2650275884592947E-3</v>
          </cell>
          <cell r="E32">
            <v>8.0961765661394865E-4</v>
          </cell>
          <cell r="F32">
            <v>85247.5</v>
          </cell>
          <cell r="G32">
            <v>3030</v>
          </cell>
          <cell r="H32">
            <v>88277.5</v>
          </cell>
          <cell r="I32">
            <v>8.1845460216972983E-5</v>
          </cell>
          <cell r="J32">
            <v>2.7009001871601085E-5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5885.5</v>
          </cell>
          <cell r="R32">
            <v>5885.5</v>
          </cell>
          <cell r="S32">
            <v>4.7016951929696339E-6</v>
          </cell>
          <cell r="T32">
            <v>1.5985763656096756E-6</v>
          </cell>
          <cell r="U32">
            <v>2.860757823721076E-5</v>
          </cell>
          <cell r="V32">
            <v>1.2873410206744842E-6</v>
          </cell>
          <cell r="W32">
            <v>9.4033903859392679E-8</v>
          </cell>
          <cell r="X32">
            <v>54.903949457612498</v>
          </cell>
          <cell r="Y32">
            <v>3719.8678395406741</v>
          </cell>
          <cell r="Z32">
            <v>1.6108951111350298E-3</v>
          </cell>
          <cell r="AA32">
            <v>4.0272377778375744E-5</v>
          </cell>
          <cell r="AB32">
            <v>2.5471698113207547E-3</v>
          </cell>
          <cell r="AC32">
            <v>3.3984412206376127E-3</v>
          </cell>
        </row>
        <row r="33">
          <cell r="A33">
            <v>29</v>
          </cell>
          <cell r="B33" t="str">
            <v xml:space="preserve">DZILAM GONZALEZ </v>
          </cell>
          <cell r="C33">
            <v>6240</v>
          </cell>
          <cell r="D33">
            <v>2.6886144931832418E-3</v>
          </cell>
          <cell r="E33">
            <v>1.7207132756372747E-3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55.462182976939197</v>
          </cell>
          <cell r="Y33">
            <v>7398.8064293997486</v>
          </cell>
          <cell r="Z33">
            <v>3.2040657409017495E-3</v>
          </cell>
          <cell r="AA33">
            <v>8.0101643522543749E-5</v>
          </cell>
          <cell r="AB33">
            <v>2.5471698113207547E-3</v>
          </cell>
          <cell r="AC33">
            <v>4.3479847304805728E-3</v>
          </cell>
        </row>
        <row r="34">
          <cell r="A34">
            <v>30</v>
          </cell>
          <cell r="B34" t="str">
            <v xml:space="preserve">DZITAS </v>
          </cell>
          <cell r="C34">
            <v>4015</v>
          </cell>
          <cell r="D34">
            <v>1.7299338445722302E-3</v>
          </cell>
          <cell r="E34">
            <v>1.1071576605262274E-3</v>
          </cell>
          <cell r="F34">
            <v>19020</v>
          </cell>
          <cell r="G34">
            <v>7915</v>
          </cell>
          <cell r="H34">
            <v>26935</v>
          </cell>
          <cell r="I34">
            <v>2.4972472837859786E-5</v>
          </cell>
          <cell r="J34">
            <v>8.2409160364937299E-6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3000</v>
          </cell>
          <cell r="Q34">
            <v>1230</v>
          </cell>
          <cell r="R34">
            <v>4230</v>
          </cell>
          <cell r="S34">
            <v>3.3791811513484923E-6</v>
          </cell>
          <cell r="T34">
            <v>1.1489215914584875E-6</v>
          </cell>
          <cell r="U34">
            <v>9.389837627952218E-6</v>
          </cell>
          <cell r="V34">
            <v>4.225426932578498E-7</v>
          </cell>
          <cell r="W34">
            <v>6.7583623026969847E-8</v>
          </cell>
          <cell r="X34">
            <v>49.2620186668522</v>
          </cell>
          <cell r="Y34">
            <v>8385.1270796568715</v>
          </cell>
          <cell r="Z34">
            <v>3.6311935803969597E-3</v>
          </cell>
          <cell r="AA34">
            <v>9.0779839509924E-5</v>
          </cell>
          <cell r="AB34">
            <v>2.5471698113207547E-3</v>
          </cell>
          <cell r="AC34">
            <v>3.7455974376731909E-3</v>
          </cell>
        </row>
        <row r="35">
          <cell r="A35">
            <v>31</v>
          </cell>
          <cell r="B35" t="str">
            <v xml:space="preserve">DZONCAUICH </v>
          </cell>
          <cell r="C35">
            <v>2818</v>
          </cell>
          <cell r="D35">
            <v>1.2141851990048679E-3</v>
          </cell>
          <cell r="E35">
            <v>7.7707852736311547E-4</v>
          </cell>
          <cell r="F35">
            <v>13067.74</v>
          </cell>
          <cell r="G35">
            <v>0</v>
          </cell>
          <cell r="H35">
            <v>13067.74</v>
          </cell>
          <cell r="I35">
            <v>1.2115603571643357E-5</v>
          </cell>
          <cell r="J35">
            <v>3.9981491786423078E-6</v>
          </cell>
          <cell r="K35">
            <v>6840</v>
          </cell>
          <cell r="L35">
            <v>0</v>
          </cell>
          <cell r="M35">
            <v>6840</v>
          </cell>
          <cell r="N35">
            <v>6.5319272910727907E-6</v>
          </cell>
          <cell r="O35">
            <v>2.1555360060540211E-6</v>
          </cell>
          <cell r="P35">
            <v>12800</v>
          </cell>
          <cell r="Q35">
            <v>0</v>
          </cell>
          <cell r="R35">
            <v>12800</v>
          </cell>
          <cell r="S35">
            <v>1.0225418141196384E-5</v>
          </cell>
          <cell r="T35">
            <v>3.4766421680067707E-6</v>
          </cell>
          <cell r="U35">
            <v>9.6303273527031001E-6</v>
          </cell>
          <cell r="V35">
            <v>4.3336473087163948E-7</v>
          </cell>
          <cell r="W35">
            <v>2.0450836282392767E-7</v>
          </cell>
          <cell r="X35">
            <v>51.262294036781803</v>
          </cell>
          <cell r="Y35">
            <v>5064.537746873194</v>
          </cell>
          <cell r="Z35">
            <v>2.1932067074738452E-3</v>
          </cell>
          <cell r="AA35">
            <v>5.4830167686846134E-5</v>
          </cell>
          <cell r="AB35">
            <v>2.5471698113207547E-3</v>
          </cell>
          <cell r="AC35">
            <v>3.3797163794644118E-3</v>
          </cell>
        </row>
        <row r="36">
          <cell r="A36">
            <v>32</v>
          </cell>
          <cell r="B36" t="str">
            <v xml:space="preserve">ESPITA </v>
          </cell>
          <cell r="C36">
            <v>16779</v>
          </cell>
          <cell r="D36">
            <v>7.2295292597951309E-3</v>
          </cell>
          <cell r="E36">
            <v>4.6268987262688835E-3</v>
          </cell>
          <cell r="F36">
            <v>168428.5</v>
          </cell>
          <cell r="G36">
            <v>177493</v>
          </cell>
          <cell r="H36">
            <v>345921.5</v>
          </cell>
          <cell r="I36">
            <v>3.2071710647045532E-4</v>
          </cell>
          <cell r="J36">
            <v>1.0583664513525026E-4</v>
          </cell>
          <cell r="K36">
            <v>135857.4</v>
          </cell>
          <cell r="L36">
            <v>71962</v>
          </cell>
          <cell r="M36">
            <v>207819.4</v>
          </cell>
          <cell r="N36">
            <v>1.9845924129742288E-4</v>
          </cell>
          <cell r="O36">
            <v>6.5491549628149553E-5</v>
          </cell>
          <cell r="P36">
            <v>186130.5</v>
          </cell>
          <cell r="Q36">
            <v>93836</v>
          </cell>
          <cell r="R36">
            <v>279966.5</v>
          </cell>
          <cell r="S36">
            <v>2.236542600021295E-4</v>
          </cell>
          <cell r="T36">
            <v>7.6042448400724037E-5</v>
          </cell>
          <cell r="U36">
            <v>2.4737064316412386E-4</v>
          </cell>
          <cell r="V36">
            <v>1.1131678942385572E-5</v>
          </cell>
          <cell r="W36">
            <v>4.4730852000425898E-6</v>
          </cell>
          <cell r="X36">
            <v>52.251815023813997</v>
          </cell>
          <cell r="Y36">
            <v>27737.964456165846</v>
          </cell>
          <cell r="Z36">
            <v>1.2011972807289894E-2</v>
          </cell>
          <cell r="AA36">
            <v>3.0029932018224738E-4</v>
          </cell>
          <cell r="AB36">
            <v>2.5471698113207547E-3</v>
          </cell>
          <cell r="AC36">
            <v>7.4899726219143144E-3</v>
          </cell>
        </row>
        <row r="37">
          <cell r="A37">
            <v>33</v>
          </cell>
          <cell r="B37" t="str">
            <v xml:space="preserve">HALACHO </v>
          </cell>
          <cell r="C37">
            <v>21255</v>
          </cell>
          <cell r="D37">
            <v>9.1580931174054178E-3</v>
          </cell>
          <cell r="E37">
            <v>5.8611795951394674E-3</v>
          </cell>
          <cell r="F37">
            <v>73390</v>
          </cell>
          <cell r="G37">
            <v>80537</v>
          </cell>
          <cell r="H37">
            <v>153927</v>
          </cell>
          <cell r="I37">
            <v>1.4271163269030047E-4</v>
          </cell>
          <cell r="J37">
            <v>4.709483878779916E-5</v>
          </cell>
          <cell r="K37">
            <v>48503</v>
          </cell>
          <cell r="L37">
            <v>141588</v>
          </cell>
          <cell r="M37">
            <v>190091</v>
          </cell>
          <cell r="N37">
            <v>1.8152932612387686E-4</v>
          </cell>
          <cell r="O37">
            <v>5.9904677620879365E-5</v>
          </cell>
          <cell r="P37">
            <v>91988</v>
          </cell>
          <cell r="Q37">
            <v>120669</v>
          </cell>
          <cell r="R37">
            <v>212657</v>
          </cell>
          <cell r="S37">
            <v>1.6988333950409372E-4</v>
          </cell>
          <cell r="T37">
            <v>5.7760335431391866E-5</v>
          </cell>
          <cell r="U37">
            <v>1.6475985184007038E-4</v>
          </cell>
          <cell r="V37">
            <v>7.4141933328031669E-6</v>
          </cell>
          <cell r="W37">
            <v>3.3976667900818743E-6</v>
          </cell>
          <cell r="X37">
            <v>52.109950730545897</v>
          </cell>
          <cell r="Y37">
            <v>35576.431395559128</v>
          </cell>
          <cell r="Z37">
            <v>1.5406434281765654E-2</v>
          </cell>
          <cell r="AA37">
            <v>3.8516085704414139E-4</v>
          </cell>
          <cell r="AB37">
            <v>2.5471698113207547E-3</v>
          </cell>
          <cell r="AC37">
            <v>8.8043221236272472E-3</v>
          </cell>
        </row>
        <row r="38">
          <cell r="A38">
            <v>34</v>
          </cell>
          <cell r="B38" t="str">
            <v xml:space="preserve">HOCABA </v>
          </cell>
          <cell r="C38">
            <v>6514</v>
          </cell>
          <cell r="D38">
            <v>2.8066722449672497E-3</v>
          </cell>
          <cell r="E38">
            <v>1.7962702367790399E-3</v>
          </cell>
          <cell r="F38">
            <v>16070</v>
          </cell>
          <cell r="G38">
            <v>22060</v>
          </cell>
          <cell r="H38">
            <v>38130</v>
          </cell>
          <cell r="I38">
            <v>3.5351787239932938E-5</v>
          </cell>
          <cell r="J38">
            <v>1.1666089789177869E-5</v>
          </cell>
          <cell r="K38">
            <v>12930</v>
          </cell>
          <cell r="L38">
            <v>8930</v>
          </cell>
          <cell r="M38">
            <v>21860</v>
          </cell>
          <cell r="N38">
            <v>2.0875428447785262E-5</v>
          </cell>
          <cell r="O38">
            <v>6.8888913877691368E-6</v>
          </cell>
          <cell r="P38">
            <v>21990</v>
          </cell>
          <cell r="Q38">
            <v>6320</v>
          </cell>
          <cell r="R38">
            <v>28310</v>
          </cell>
          <cell r="S38">
            <v>2.261574902947419E-5</v>
          </cell>
          <cell r="T38">
            <v>7.6893546700212255E-6</v>
          </cell>
          <cell r="U38">
            <v>2.6244335846968232E-5</v>
          </cell>
          <cell r="V38">
            <v>1.1809951131135703E-6</v>
          </cell>
          <cell r="W38">
            <v>4.5231498058948381E-7</v>
          </cell>
          <cell r="X38">
            <v>50.966674166207099</v>
          </cell>
          <cell r="Y38">
            <v>11987.403100481197</v>
          </cell>
          <cell r="Z38">
            <v>5.1911653539160399E-3</v>
          </cell>
          <cell r="AA38">
            <v>1.29779133847901E-4</v>
          </cell>
          <cell r="AB38">
            <v>2.5471698113207547E-3</v>
          </cell>
          <cell r="AC38">
            <v>4.4748524920413986E-3</v>
          </cell>
        </row>
        <row r="39">
          <cell r="A39">
            <v>35</v>
          </cell>
          <cell r="B39" t="str">
            <v xml:space="preserve">HOCTUN </v>
          </cell>
          <cell r="C39">
            <v>6384</v>
          </cell>
          <cell r="D39">
            <v>2.7506594430259323E-3</v>
          </cell>
          <cell r="E39">
            <v>1.7604220435365966E-3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6715</v>
          </cell>
          <cell r="Q39">
            <v>3063</v>
          </cell>
          <cell r="R39">
            <v>9778</v>
          </cell>
          <cell r="S39">
            <v>7.8112608269233007E-6</v>
          </cell>
          <cell r="T39">
            <v>2.6558286811539226E-6</v>
          </cell>
          <cell r="U39">
            <v>2.6558286811539226E-6</v>
          </cell>
          <cell r="V39">
            <v>1.1951229065192652E-7</v>
          </cell>
          <cell r="W39">
            <v>1.5622521653846602E-7</v>
          </cell>
          <cell r="X39">
            <v>52.660157138938303</v>
          </cell>
          <cell r="Y39">
            <v>10174.060273722596</v>
          </cell>
          <cell r="Z39">
            <v>4.4058941506256834E-3</v>
          </cell>
          <cell r="AA39">
            <v>1.1014735376564209E-4</v>
          </cell>
          <cell r="AB39">
            <v>2.5471698113207547E-3</v>
          </cell>
          <cell r="AC39">
            <v>4.4180149461301842E-3</v>
          </cell>
        </row>
        <row r="40">
          <cell r="A40">
            <v>36</v>
          </cell>
          <cell r="B40" t="str">
            <v xml:space="preserve">HOMUN </v>
          </cell>
          <cell r="C40">
            <v>8090</v>
          </cell>
          <cell r="D40">
            <v>3.4857197515789145E-3</v>
          </cell>
          <cell r="E40">
            <v>2.2308606410105054E-3</v>
          </cell>
          <cell r="F40">
            <v>14450</v>
          </cell>
          <cell r="G40">
            <v>0</v>
          </cell>
          <cell r="H40">
            <v>14450</v>
          </cell>
          <cell r="I40">
            <v>1.3397149898164987E-5</v>
          </cell>
          <cell r="J40">
            <v>4.4210594663944463E-6</v>
          </cell>
          <cell r="K40">
            <v>16550</v>
          </cell>
          <cell r="L40">
            <v>25000</v>
          </cell>
          <cell r="M40">
            <v>41550</v>
          </cell>
          <cell r="N40">
            <v>3.9678593412876382E-5</v>
          </cell>
          <cell r="O40">
            <v>1.3093935826249206E-5</v>
          </cell>
          <cell r="P40">
            <v>5825</v>
          </cell>
          <cell r="Q40">
            <v>720</v>
          </cell>
          <cell r="R40">
            <v>6545</v>
          </cell>
          <cell r="S40">
            <v>5.2285438854789326E-6</v>
          </cell>
          <cell r="T40">
            <v>1.7777049210628372E-6</v>
          </cell>
          <cell r="U40">
            <v>1.929270021370649E-5</v>
          </cell>
          <cell r="V40">
            <v>8.6817150961679202E-7</v>
          </cell>
          <cell r="W40">
            <v>1.0457087770957866E-7</v>
          </cell>
          <cell r="X40">
            <v>53.030389865795101</v>
          </cell>
          <cell r="Y40">
            <v>12456.781655520479</v>
          </cell>
          <cell r="Z40">
            <v>5.3944305375731479E-3</v>
          </cell>
          <cell r="AA40">
            <v>1.348607634393287E-4</v>
          </cell>
          <cell r="AB40">
            <v>2.5471698113207547E-3</v>
          </cell>
          <cell r="AC40">
            <v>4.9138639581579151E-3</v>
          </cell>
        </row>
        <row r="41">
          <cell r="A41">
            <v>37</v>
          </cell>
          <cell r="B41" t="str">
            <v xml:space="preserve">HUHI </v>
          </cell>
          <cell r="C41">
            <v>5250</v>
          </cell>
          <cell r="D41">
            <v>2.262055463014747E-3</v>
          </cell>
          <cell r="E41">
            <v>1.4477154963294381E-3</v>
          </cell>
          <cell r="F41">
            <v>26772</v>
          </cell>
          <cell r="G41">
            <v>0</v>
          </cell>
          <cell r="H41">
            <v>26772</v>
          </cell>
          <cell r="I41">
            <v>2.4821349278454881E-5</v>
          </cell>
          <cell r="J41">
            <v>8.191045261890112E-6</v>
          </cell>
          <cell r="K41">
            <v>24020</v>
          </cell>
          <cell r="L41">
            <v>0</v>
          </cell>
          <cell r="M41">
            <v>24020</v>
          </cell>
          <cell r="N41">
            <v>2.2938142329176669E-5</v>
          </cell>
          <cell r="O41">
            <v>7.5695869686283016E-6</v>
          </cell>
          <cell r="P41">
            <v>23481.01</v>
          </cell>
          <cell r="Q41">
            <v>0</v>
          </cell>
          <cell r="R41">
            <v>23481.01</v>
          </cell>
          <cell r="S41">
            <v>1.8758058252157318E-5</v>
          </cell>
          <cell r="T41">
            <v>6.3777398057334884E-6</v>
          </cell>
          <cell r="U41">
            <v>2.2138372036251904E-5</v>
          </cell>
          <cell r="V41">
            <v>9.9622674163133559E-7</v>
          </cell>
          <cell r="W41">
            <v>3.751611650431464E-7</v>
          </cell>
          <cell r="X41">
            <v>54.088077284278299</v>
          </cell>
          <cell r="Y41">
            <v>7275.3237238976644</v>
          </cell>
          <cell r="Z41">
            <v>3.1505913447179338E-3</v>
          </cell>
          <cell r="AA41">
            <v>7.8764783617948355E-5</v>
          </cell>
          <cell r="AB41">
            <v>2.5471698113207547E-3</v>
          </cell>
          <cell r="AC41">
            <v>4.075021479174816E-3</v>
          </cell>
        </row>
        <row r="42">
          <cell r="A42">
            <v>38</v>
          </cell>
          <cell r="B42" t="str">
            <v xml:space="preserve">HUNUCMA </v>
          </cell>
          <cell r="C42">
            <v>35137</v>
          </cell>
          <cell r="D42">
            <v>1.5139398629323651E-2</v>
          </cell>
          <cell r="E42">
            <v>9.689215122767136E-3</v>
          </cell>
          <cell r="F42">
            <v>1236299.55</v>
          </cell>
          <cell r="G42">
            <v>79476</v>
          </cell>
          <cell r="H42">
            <v>1315775.55</v>
          </cell>
          <cell r="I42">
            <v>1.2199060398401717E-3</v>
          </cell>
          <cell r="J42">
            <v>4.0256899314725667E-4</v>
          </cell>
          <cell r="K42">
            <v>1479034.53</v>
          </cell>
          <cell r="L42">
            <v>31374.79</v>
          </cell>
          <cell r="M42">
            <v>1510409.32</v>
          </cell>
          <cell r="N42">
            <v>1.4423806809939614E-3</v>
          </cell>
          <cell r="O42">
            <v>4.7598562472800729E-4</v>
          </cell>
          <cell r="P42">
            <v>2229291.23</v>
          </cell>
          <cell r="Q42">
            <v>135411</v>
          </cell>
          <cell r="R42">
            <v>2364702.23</v>
          </cell>
          <cell r="S42">
            <v>1.8890678969663707E-3</v>
          </cell>
          <cell r="T42">
            <v>6.4228308496856604E-4</v>
          </cell>
          <cell r="U42">
            <v>1.5208377028438299E-3</v>
          </cell>
          <cell r="V42">
            <v>6.8437696627972344E-5</v>
          </cell>
          <cell r="W42">
            <v>3.7781357939327412E-5</v>
          </cell>
          <cell r="X42">
            <v>54.493181212077502</v>
          </cell>
          <cell r="Y42">
            <v>46619.519158979456</v>
          </cell>
          <cell r="Z42">
            <v>2.018866226869475E-2</v>
          </cell>
          <cell r="AA42">
            <v>5.0471655671736882E-4</v>
          </cell>
          <cell r="AB42">
            <v>2.5471698113207547E-3</v>
          </cell>
          <cell r="AC42">
            <v>1.2847320545372558E-2</v>
          </cell>
        </row>
        <row r="43">
          <cell r="A43">
            <v>39</v>
          </cell>
          <cell r="B43" t="str">
            <v xml:space="preserve">IXIL </v>
          </cell>
          <cell r="C43">
            <v>4186</v>
          </cell>
          <cell r="D43">
            <v>1.8036122225104248E-3</v>
          </cell>
          <cell r="E43">
            <v>1.1543118224066719E-3</v>
          </cell>
          <cell r="F43">
            <v>13185</v>
          </cell>
          <cell r="G43">
            <v>2008</v>
          </cell>
          <cell r="H43">
            <v>15193</v>
          </cell>
          <cell r="I43">
            <v>1.4086013730299006E-5</v>
          </cell>
          <cell r="J43">
            <v>4.648384530998672E-6</v>
          </cell>
          <cell r="K43">
            <v>230687.23</v>
          </cell>
          <cell r="L43">
            <v>0</v>
          </cell>
          <cell r="M43">
            <v>230687.23</v>
          </cell>
          <cell r="N43">
            <v>2.2029710721330201E-4</v>
          </cell>
          <cell r="O43">
            <v>7.269804538038966E-5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7.7346429911388337E-5</v>
          </cell>
          <cell r="V43">
            <v>3.480589346012475E-6</v>
          </cell>
          <cell r="W43">
            <v>0</v>
          </cell>
          <cell r="X43">
            <v>55.1057406418157</v>
          </cell>
          <cell r="Y43">
            <v>5180.6110244411384</v>
          </cell>
          <cell r="Z43">
            <v>2.2434724382560198E-3</v>
          </cell>
          <cell r="AA43">
            <v>5.60868109564005E-5</v>
          </cell>
          <cell r="AB43">
            <v>2.5471698113207547E-3</v>
          </cell>
          <cell r="AC43">
            <v>3.7610490340298395E-3</v>
          </cell>
        </row>
        <row r="44">
          <cell r="A44">
            <v>40</v>
          </cell>
          <cell r="B44" t="str">
            <v xml:space="preserve">IZAMAL </v>
          </cell>
          <cell r="C44">
            <v>28555</v>
          </cell>
          <cell r="D44">
            <v>1.2303427380264019E-2</v>
          </cell>
          <cell r="E44">
            <v>7.8741935233689712E-3</v>
          </cell>
          <cell r="F44">
            <v>627004.62</v>
          </cell>
          <cell r="G44">
            <v>532448.22</v>
          </cell>
          <cell r="H44">
            <v>1159452.8399999999</v>
          </cell>
          <cell r="I44">
            <v>1.0749732524105954E-3</v>
          </cell>
          <cell r="J44">
            <v>3.5474117329549649E-4</v>
          </cell>
          <cell r="K44">
            <v>513443.02</v>
          </cell>
          <cell r="L44">
            <v>337299.46</v>
          </cell>
          <cell r="M44">
            <v>850742.48</v>
          </cell>
          <cell r="N44">
            <v>8.1242514953025545E-4</v>
          </cell>
          <cell r="O44">
            <v>2.681002993449843E-4</v>
          </cell>
          <cell r="P44">
            <v>338298.18</v>
          </cell>
          <cell r="Q44">
            <v>315744.75</v>
          </cell>
          <cell r="R44">
            <v>654042.92999999993</v>
          </cell>
          <cell r="S44">
            <v>5.2248925324556536E-4</v>
          </cell>
          <cell r="T44">
            <v>1.7764634610349225E-4</v>
          </cell>
          <cell r="U44">
            <v>8.0048781874397313E-4</v>
          </cell>
          <cell r="V44">
            <v>3.6021951843478791E-5</v>
          </cell>
          <cell r="W44">
            <v>1.0449785064911308E-5</v>
          </cell>
          <cell r="X44">
            <v>55.022645544476198</v>
          </cell>
          <cell r="Y44">
            <v>35685.263703121345</v>
          </cell>
          <cell r="Z44">
            <v>1.5453564298139346E-2</v>
          </cell>
          <cell r="AA44">
            <v>3.8633910745348369E-4</v>
          </cell>
          <cell r="AB44">
            <v>2.5471698113207547E-3</v>
          </cell>
          <cell r="AC44">
            <v>1.0854174179051598E-2</v>
          </cell>
        </row>
        <row r="45">
          <cell r="A45">
            <v>41</v>
          </cell>
          <cell r="B45" t="str">
            <v xml:space="preserve">KANASIN </v>
          </cell>
          <cell r="C45">
            <v>141939</v>
          </cell>
          <cell r="D45">
            <v>6.1156931498066697E-2</v>
          </cell>
          <cell r="E45">
            <v>3.9140436158762684E-2</v>
          </cell>
          <cell r="F45">
            <v>4129589.36</v>
          </cell>
          <cell r="G45">
            <v>694300</v>
          </cell>
          <cell r="H45">
            <v>4823889.3599999994</v>
          </cell>
          <cell r="I45">
            <v>4.4724130690714983E-3</v>
          </cell>
          <cell r="J45">
            <v>1.4758963127935944E-3</v>
          </cell>
          <cell r="K45">
            <v>4298471.3499999996</v>
          </cell>
          <cell r="L45">
            <v>1187340</v>
          </cell>
          <cell r="M45">
            <v>5485811.3499999996</v>
          </cell>
          <cell r="N45">
            <v>5.2387311214534887E-3</v>
          </cell>
          <cell r="O45">
            <v>1.7287812700796513E-3</v>
          </cell>
          <cell r="P45">
            <v>10652098.24</v>
          </cell>
          <cell r="Q45">
            <v>1767466</v>
          </cell>
          <cell r="R45">
            <v>12419564.24</v>
          </cell>
          <cell r="S45">
            <v>9.9215029285507714E-3</v>
          </cell>
          <cell r="T45">
            <v>3.3733109957072623E-3</v>
          </cell>
          <cell r="U45">
            <v>6.577988578580508E-3</v>
          </cell>
          <cell r="V45">
            <v>2.9600948603612283E-4</v>
          </cell>
          <cell r="W45">
            <v>1.9843005857101542E-4</v>
          </cell>
          <cell r="X45">
            <v>58.122018789171797</v>
          </cell>
          <cell r="Y45">
            <v>113328.93265219289</v>
          </cell>
          <cell r="Z45">
            <v>4.9077287536675236E-2</v>
          </cell>
          <cell r="AA45">
            <v>1.2269321884168811E-3</v>
          </cell>
          <cell r="AB45">
            <v>2.5471698113207547E-3</v>
          </cell>
          <cell r="AC45">
            <v>4.3408977703107456E-2</v>
          </cell>
        </row>
        <row r="46">
          <cell r="A46">
            <v>42</v>
          </cell>
          <cell r="B46" t="str">
            <v xml:space="preserve">KANTUNIL </v>
          </cell>
          <cell r="C46">
            <v>5553</v>
          </cell>
          <cell r="D46">
            <v>2.3926083783087407E-3</v>
          </cell>
          <cell r="E46">
            <v>1.5312693621175942E-3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6000</v>
          </cell>
          <cell r="L46">
            <v>10890</v>
          </cell>
          <cell r="M46">
            <v>16890</v>
          </cell>
          <cell r="N46">
            <v>1.6129276600324477E-5</v>
          </cell>
          <cell r="O46">
            <v>5.3226612781070779E-6</v>
          </cell>
          <cell r="P46">
            <v>2825</v>
          </cell>
          <cell r="Q46">
            <v>15600</v>
          </cell>
          <cell r="R46">
            <v>18425</v>
          </cell>
          <cell r="S46">
            <v>1.4719010097776826E-5</v>
          </cell>
          <cell r="T46">
            <v>5.0044634332441216E-6</v>
          </cell>
          <cell r="U46">
            <v>1.0327124711351199E-5</v>
          </cell>
          <cell r="V46">
            <v>4.647206120108039E-7</v>
          </cell>
          <cell r="W46">
            <v>2.9438020195553655E-7</v>
          </cell>
          <cell r="X46">
            <v>52.537152252264796</v>
          </cell>
          <cell r="Y46">
            <v>8949.1627798860682</v>
          </cell>
          <cell r="Z46">
            <v>3.8754502021905528E-3</v>
          </cell>
          <cell r="AA46">
            <v>9.6886255054763829E-5</v>
          </cell>
          <cell r="AB46">
            <v>2.5471698113207547E-3</v>
          </cell>
          <cell r="AC46">
            <v>4.1760845293070791E-3</v>
          </cell>
        </row>
        <row r="47">
          <cell r="A47">
            <v>43</v>
          </cell>
          <cell r="B47" t="str">
            <v xml:space="preserve">KAUA </v>
          </cell>
          <cell r="C47">
            <v>3405</v>
          </cell>
          <cell r="D47">
            <v>1.4671045431552787E-3</v>
          </cell>
          <cell r="E47">
            <v>9.3894690761937838E-4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4880</v>
          </cell>
          <cell r="L47">
            <v>30000</v>
          </cell>
          <cell r="M47">
            <v>34880</v>
          </cell>
          <cell r="N47">
            <v>3.3309009343950136E-5</v>
          </cell>
          <cell r="O47">
            <v>1.0991973083503546E-5</v>
          </cell>
          <cell r="P47">
            <v>1618</v>
          </cell>
          <cell r="Q47">
            <v>200</v>
          </cell>
          <cell r="R47">
            <v>1818</v>
          </cell>
          <cell r="S47">
            <v>1.4523289203667989E-6</v>
          </cell>
          <cell r="T47">
            <v>4.9379183292471164E-7</v>
          </cell>
          <cell r="U47">
            <v>1.1485764916428257E-5</v>
          </cell>
          <cell r="V47">
            <v>5.1685942123927151E-7</v>
          </cell>
          <cell r="W47">
            <v>2.9046578407335977E-8</v>
          </cell>
          <cell r="X47">
            <v>51.940833109295802</v>
          </cell>
          <cell r="Y47">
            <v>5783.1020510706339</v>
          </cell>
          <cell r="Z47">
            <v>2.5043822047223527E-3</v>
          </cell>
          <cell r="AA47">
            <v>6.2609555118058817E-5</v>
          </cell>
          <cell r="AB47">
            <v>2.5471698113207547E-3</v>
          </cell>
          <cell r="AC47">
            <v>3.5492721800578384E-3</v>
          </cell>
        </row>
        <row r="48">
          <cell r="A48">
            <v>44</v>
          </cell>
          <cell r="B48" t="str">
            <v xml:space="preserve">KINCHIL </v>
          </cell>
          <cell r="C48">
            <v>7530</v>
          </cell>
          <cell r="D48">
            <v>3.2444338355240082E-3</v>
          </cell>
          <cell r="E48">
            <v>2.0764376547353653E-3</v>
          </cell>
          <cell r="F48">
            <v>22691.7</v>
          </cell>
          <cell r="G48">
            <v>0</v>
          </cell>
          <cell r="H48">
            <v>22691.7</v>
          </cell>
          <cell r="I48">
            <v>2.1038346459805568E-5</v>
          </cell>
          <cell r="J48">
            <v>6.9426543317358379E-6</v>
          </cell>
          <cell r="K48">
            <v>21643.58</v>
          </cell>
          <cell r="L48">
            <v>0</v>
          </cell>
          <cell r="M48">
            <v>21643.58</v>
          </cell>
          <cell r="N48">
            <v>2.0668755976391407E-5</v>
          </cell>
          <cell r="O48">
            <v>6.8206894722091643E-6</v>
          </cell>
          <cell r="P48">
            <v>186339</v>
          </cell>
          <cell r="Q48">
            <v>0</v>
          </cell>
          <cell r="R48">
            <v>186339</v>
          </cell>
          <cell r="S48">
            <v>1.4885892117284319E-4</v>
          </cell>
          <cell r="T48">
            <v>5.0612033198766689E-5</v>
          </cell>
          <cell r="U48">
            <v>6.4375377002711689E-5</v>
          </cell>
          <cell r="V48">
            <v>2.8968919651220258E-6</v>
          </cell>
          <cell r="W48">
            <v>2.977178423456864E-6</v>
          </cell>
          <cell r="X48">
            <v>53.841735650131497</v>
          </cell>
          <cell r="Y48">
            <v>10704.973968736624</v>
          </cell>
          <cell r="Z48">
            <v>4.6358072315802841E-3</v>
          </cell>
          <cell r="AA48">
            <v>1.158951807895071E-4</v>
          </cell>
          <cell r="AB48">
            <v>2.5471698113207547E-3</v>
          </cell>
          <cell r="AC48">
            <v>4.745376717234206E-3</v>
          </cell>
        </row>
        <row r="49">
          <cell r="A49">
            <v>45</v>
          </cell>
          <cell r="B49" t="str">
            <v xml:space="preserve">KOPOMA </v>
          </cell>
          <cell r="C49">
            <v>2677</v>
          </cell>
          <cell r="D49">
            <v>1.1534328522839004E-3</v>
          </cell>
          <cell r="E49">
            <v>7.3819702546169623E-4</v>
          </cell>
          <cell r="F49">
            <v>13285.3</v>
          </cell>
          <cell r="G49">
            <v>2618</v>
          </cell>
          <cell r="H49">
            <v>15903.3</v>
          </cell>
          <cell r="I49">
            <v>1.4744560136711919E-5</v>
          </cell>
          <cell r="J49">
            <v>4.8657048451149334E-6</v>
          </cell>
          <cell r="K49">
            <v>21245</v>
          </cell>
          <cell r="L49">
            <v>5871</v>
          </cell>
          <cell r="M49">
            <v>27116</v>
          </cell>
          <cell r="N49">
            <v>2.5894698892504355E-5</v>
          </cell>
          <cell r="O49">
            <v>8.5452506345264374E-6</v>
          </cell>
          <cell r="P49">
            <v>12500</v>
          </cell>
          <cell r="Q49">
            <v>5868</v>
          </cell>
          <cell r="R49">
            <v>18368</v>
          </cell>
          <cell r="S49">
            <v>1.4673475032616811E-5</v>
          </cell>
          <cell r="T49">
            <v>4.9889815110897156E-6</v>
          </cell>
          <cell r="U49">
            <v>1.8399936990731086E-5</v>
          </cell>
          <cell r="V49">
            <v>8.2799716458289878E-7</v>
          </cell>
          <cell r="W49">
            <v>2.9346950065233621E-7</v>
          </cell>
          <cell r="X49">
            <v>54.674296035061403</v>
          </cell>
          <cell r="Y49">
            <v>3481.2310252588718</v>
          </cell>
          <cell r="Z49">
            <v>1.5075530317801727E-3</v>
          </cell>
          <cell r="AA49">
            <v>3.768882579450432E-5</v>
          </cell>
          <cell r="AB49">
            <v>2.5471698113207547E-3</v>
          </cell>
          <cell r="AC49">
            <v>3.3241771292421905E-3</v>
          </cell>
        </row>
        <row r="50">
          <cell r="A50">
            <v>46</v>
          </cell>
          <cell r="B50" t="str">
            <v xml:space="preserve">MAMA </v>
          </cell>
          <cell r="C50">
            <v>3296</v>
          </cell>
          <cell r="D50">
            <v>1.4201399630660201E-3</v>
          </cell>
          <cell r="E50">
            <v>9.0888957636225292E-4</v>
          </cell>
          <cell r="F50">
            <v>2800</v>
          </cell>
          <cell r="G50">
            <v>0</v>
          </cell>
          <cell r="H50">
            <v>2800</v>
          </cell>
          <cell r="I50">
            <v>2.5959875235198592E-6</v>
          </cell>
          <cell r="J50">
            <v>8.5667588276155362E-7</v>
          </cell>
          <cell r="K50">
            <v>3778</v>
          </cell>
          <cell r="L50">
            <v>0</v>
          </cell>
          <cell r="M50">
            <v>3778</v>
          </cell>
          <cell r="N50">
            <v>3.6078393721744156E-6</v>
          </cell>
          <cell r="O50">
            <v>1.1905869928175572E-6</v>
          </cell>
          <cell r="P50">
            <v>6817</v>
          </cell>
          <cell r="Q50">
            <v>0</v>
          </cell>
          <cell r="R50">
            <v>6817</v>
          </cell>
          <cell r="S50">
            <v>5.4458340209793553E-6</v>
          </cell>
          <cell r="T50">
            <v>1.851583567132981E-6</v>
          </cell>
          <cell r="U50">
            <v>3.8988464427120917E-6</v>
          </cell>
          <cell r="V50">
            <v>1.7544808992204412E-7</v>
          </cell>
          <cell r="W50">
            <v>1.0891668041958711E-7</v>
          </cell>
          <cell r="X50">
            <v>51.863235698255899</v>
          </cell>
          <cell r="Y50">
            <v>5635.2136601726652</v>
          </cell>
          <cell r="Z50">
            <v>2.440338884860596E-3</v>
          </cell>
          <cell r="AA50">
            <v>6.1008472121514907E-5</v>
          </cell>
          <cell r="AB50">
            <v>2.5471698113207547E-3</v>
          </cell>
          <cell r="AC50">
            <v>3.5173522245748644E-3</v>
          </cell>
        </row>
        <row r="51">
          <cell r="A51">
            <v>47</v>
          </cell>
          <cell r="B51" t="str">
            <v xml:space="preserve">MANI </v>
          </cell>
          <cell r="C51">
            <v>5968</v>
          </cell>
          <cell r="D51">
            <v>2.5714184768137159E-3</v>
          </cell>
          <cell r="E51">
            <v>1.6457078251607782E-3</v>
          </cell>
          <cell r="F51">
            <v>42321</v>
          </cell>
          <cell r="G51">
            <v>0</v>
          </cell>
          <cell r="H51">
            <v>42321</v>
          </cell>
          <cell r="I51">
            <v>3.9237424279601412E-5</v>
          </cell>
          <cell r="J51">
            <v>1.2948350012268467E-5</v>
          </cell>
          <cell r="K51">
            <v>17118</v>
          </cell>
          <cell r="L51">
            <v>7670</v>
          </cell>
          <cell r="M51">
            <v>24788</v>
          </cell>
          <cell r="N51">
            <v>2.3671551709226949E-5</v>
          </cell>
          <cell r="O51">
            <v>7.811612064044894E-6</v>
          </cell>
          <cell r="P51">
            <v>20175</v>
          </cell>
          <cell r="Q51">
            <v>46996</v>
          </cell>
          <cell r="R51">
            <v>67171</v>
          </cell>
          <cell r="S51">
            <v>5.366027827830487E-5</v>
          </cell>
          <cell r="T51">
            <v>1.8244494614623656E-5</v>
          </cell>
          <cell r="U51">
            <v>3.9004456690937015E-5</v>
          </cell>
          <cell r="V51">
            <v>1.7552005510921656E-6</v>
          </cell>
          <cell r="W51">
            <v>1.0732055655660974E-6</v>
          </cell>
          <cell r="X51">
            <v>51.998224769065899</v>
          </cell>
          <cell r="Y51">
            <v>10086.268970588053</v>
          </cell>
          <cell r="Z51">
            <v>4.3678759770991015E-3</v>
          </cell>
          <cell r="AA51">
            <v>1.0919689942747754E-4</v>
          </cell>
          <cell r="AB51">
            <v>2.5471698113207547E-3</v>
          </cell>
          <cell r="AC51">
            <v>4.3049029420256686E-3</v>
          </cell>
        </row>
        <row r="52">
          <cell r="A52">
            <v>48</v>
          </cell>
          <cell r="B52" t="str">
            <v xml:space="preserve">MAXCANU </v>
          </cell>
          <cell r="C52">
            <v>23991</v>
          </cell>
          <cell r="D52">
            <v>1.0336947164416532E-2</v>
          </cell>
          <cell r="E52">
            <v>6.6156461852265799E-3</v>
          </cell>
          <cell r="F52">
            <v>167807</v>
          </cell>
          <cell r="G52">
            <v>520110</v>
          </cell>
          <cell r="H52">
            <v>687917</v>
          </cell>
          <cell r="I52">
            <v>6.3779426757757534E-4</v>
          </cell>
          <cell r="J52">
            <v>2.1047210830059987E-4</v>
          </cell>
          <cell r="K52">
            <v>39453.5</v>
          </cell>
          <cell r="L52">
            <v>202593</v>
          </cell>
          <cell r="M52">
            <v>242046.5</v>
          </cell>
          <cell r="N52">
            <v>2.3114475717231727E-4</v>
          </cell>
          <cell r="O52">
            <v>7.6277769866864704E-5</v>
          </cell>
          <cell r="P52">
            <v>66907.5</v>
          </cell>
          <cell r="Q52">
            <v>70232.5</v>
          </cell>
          <cell r="R52">
            <v>137140</v>
          </cell>
          <cell r="S52">
            <v>1.0955576905341189E-4</v>
          </cell>
          <cell r="T52">
            <v>3.7248961478160041E-5</v>
          </cell>
          <cell r="U52">
            <v>3.239988396456246E-4</v>
          </cell>
          <cell r="V52">
            <v>1.4579947784053106E-5</v>
          </cell>
          <cell r="W52">
            <v>2.1911153810682377E-6</v>
          </cell>
          <cell r="X52">
            <v>53.775413786012997</v>
          </cell>
          <cell r="Y52">
            <v>34338.312368381339</v>
          </cell>
          <cell r="Z52">
            <v>1.4870264725771366E-2</v>
          </cell>
          <cell r="AA52">
            <v>3.7175661814428418E-4</v>
          </cell>
          <cell r="AB52">
            <v>2.5471698113207547E-3</v>
          </cell>
          <cell r="AC52">
            <v>9.5513436778567398E-3</v>
          </cell>
        </row>
        <row r="53">
          <cell r="A53">
            <v>49</v>
          </cell>
          <cell r="B53" t="str">
            <v xml:space="preserve">MAYAPAN </v>
          </cell>
          <cell r="C53">
            <v>3965</v>
          </cell>
          <cell r="D53">
            <v>1.708390459210185E-3</v>
          </cell>
          <cell r="E53">
            <v>1.0933698938945184E-3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46.505398692223501</v>
          </cell>
          <cell r="Y53">
            <v>9872.1123133845995</v>
          </cell>
          <cell r="Z53">
            <v>4.2751350715112667E-3</v>
          </cell>
          <cell r="AA53">
            <v>1.0687837678778167E-4</v>
          </cell>
          <cell r="AB53">
            <v>2.5471698113207547E-3</v>
          </cell>
          <cell r="AC53">
            <v>3.7474180820030547E-3</v>
          </cell>
        </row>
        <row r="54">
          <cell r="A54">
            <v>50</v>
          </cell>
          <cell r="B54" t="str">
            <v xml:space="preserve">MERIDA </v>
          </cell>
          <cell r="C54">
            <v>995129</v>
          </cell>
          <cell r="D54">
            <v>0.42876895063893372</v>
          </cell>
          <cell r="E54">
            <v>0.2744121284089176</v>
          </cell>
          <cell r="F54">
            <v>577462057.65999997</v>
          </cell>
          <cell r="G54">
            <v>360981608.89999998</v>
          </cell>
          <cell r="H54">
            <v>938443666.55999994</v>
          </cell>
          <cell r="I54">
            <v>0.87006716068428236</v>
          </cell>
          <cell r="J54">
            <v>0.28712216302581317</v>
          </cell>
          <cell r="K54">
            <v>605109836.04999995</v>
          </cell>
          <cell r="L54">
            <v>306527344</v>
          </cell>
          <cell r="M54">
            <v>911637180.04999995</v>
          </cell>
          <cell r="N54">
            <v>0.87057716022298737</v>
          </cell>
          <cell r="O54">
            <v>0.28729046287358584</v>
          </cell>
          <cell r="P54">
            <v>675375952.91999996</v>
          </cell>
          <cell r="Q54">
            <v>404206435.06999999</v>
          </cell>
          <cell r="R54">
            <v>1079582387.99</v>
          </cell>
          <cell r="S54">
            <v>0.86243604180227029</v>
          </cell>
          <cell r="T54">
            <v>0.29322825421277193</v>
          </cell>
          <cell r="U54">
            <v>0.86764088011217089</v>
          </cell>
          <cell r="V54">
            <v>3.9043839605047689E-2</v>
          </cell>
          <cell r="W54">
            <v>1.7248720836045405E-2</v>
          </cell>
          <cell r="X54">
            <v>59.913620287915698</v>
          </cell>
          <cell r="Y54">
            <v>534958.34906737937</v>
          </cell>
          <cell r="Z54">
            <v>0.23166462528946127</v>
          </cell>
          <cell r="AA54">
            <v>5.7916156322365322E-3</v>
          </cell>
          <cell r="AB54">
            <v>2.5471698113207547E-3</v>
          </cell>
          <cell r="AC54">
            <v>0.33904347429356796</v>
          </cell>
        </row>
        <row r="55">
          <cell r="A55">
            <v>51</v>
          </cell>
          <cell r="B55" t="str">
            <v xml:space="preserve">MOCOCHA </v>
          </cell>
          <cell r="C55">
            <v>3430</v>
          </cell>
          <cell r="D55">
            <v>1.4778762358363014E-3</v>
          </cell>
          <cell r="E55">
            <v>9.4584079093523287E-4</v>
          </cell>
          <cell r="F55">
            <v>83900.06</v>
          </cell>
          <cell r="G55">
            <v>0</v>
          </cell>
          <cell r="H55">
            <v>83900.06</v>
          </cell>
          <cell r="I55">
            <v>7.7786967493774132E-5</v>
          </cell>
          <cell r="J55">
            <v>2.5669699272945464E-5</v>
          </cell>
          <cell r="K55">
            <v>296742</v>
          </cell>
          <cell r="L55">
            <v>0</v>
          </cell>
          <cell r="M55">
            <v>296742</v>
          </cell>
          <cell r="N55">
            <v>2.8337677897770786E-4</v>
          </cell>
          <cell r="O55">
            <v>9.3514337062643597E-5</v>
          </cell>
          <cell r="P55">
            <v>20010</v>
          </cell>
          <cell r="Q55">
            <v>0</v>
          </cell>
          <cell r="R55">
            <v>20010</v>
          </cell>
          <cell r="S55">
            <v>1.598520445354216E-5</v>
          </cell>
          <cell r="T55">
            <v>5.4349695142043346E-6</v>
          </cell>
          <cell r="U55">
            <v>1.2461900584979341E-4</v>
          </cell>
          <cell r="V55">
            <v>5.6078552632407032E-6</v>
          </cell>
          <cell r="W55">
            <v>3.1970408907084324E-7</v>
          </cell>
          <cell r="X55">
            <v>55.489157746076998</v>
          </cell>
          <cell r="Y55">
            <v>4053.5007083471742</v>
          </cell>
          <cell r="Z55">
            <v>1.7553753938917176E-3</v>
          </cell>
          <cell r="AA55">
            <v>4.3884384847292945E-5</v>
          </cell>
          <cell r="AB55">
            <v>2.5471698113207547E-3</v>
          </cell>
          <cell r="AC55">
            <v>3.5428225464555919E-3</v>
          </cell>
        </row>
        <row r="56">
          <cell r="A56">
            <v>52</v>
          </cell>
          <cell r="B56" t="str">
            <v xml:space="preserve">MOTUL </v>
          </cell>
          <cell r="C56">
            <v>37804</v>
          </cell>
          <cell r="D56">
            <v>1.628852280453514E-2</v>
          </cell>
          <cell r="E56">
            <v>1.042465459490249E-2</v>
          </cell>
          <cell r="F56">
            <v>819362.56</v>
          </cell>
          <cell r="G56">
            <v>3556047.81</v>
          </cell>
          <cell r="H56">
            <v>4375410.37</v>
          </cell>
          <cell r="I56">
            <v>4.0566109752855038E-3</v>
          </cell>
          <cell r="J56">
            <v>1.3386816218442163E-3</v>
          </cell>
          <cell r="K56">
            <v>702225.62</v>
          </cell>
          <cell r="L56">
            <v>3779870.17</v>
          </cell>
          <cell r="M56">
            <v>4482095.79</v>
          </cell>
          <cell r="N56">
            <v>4.2802227795180493E-3</v>
          </cell>
          <cell r="O56">
            <v>1.4124735172409563E-3</v>
          </cell>
          <cell r="P56">
            <v>817534.17</v>
          </cell>
          <cell r="Q56">
            <v>4136638.31</v>
          </cell>
          <cell r="R56">
            <v>4954172.4800000004</v>
          </cell>
          <cell r="S56">
            <v>3.9576941524693656E-3</v>
          </cell>
          <cell r="T56">
            <v>1.3456160118395844E-3</v>
          </cell>
          <cell r="U56">
            <v>4.096771150924757E-3</v>
          </cell>
          <cell r="V56">
            <v>1.8435470179161407E-4</v>
          </cell>
          <cell r="W56">
            <v>7.9153883049387308E-5</v>
          </cell>
          <cell r="X56">
            <v>55.383877812184501</v>
          </cell>
          <cell r="Y56">
            <v>45255.44779219856</v>
          </cell>
          <cell r="Z56">
            <v>1.9597948837257906E-2</v>
          </cell>
          <cell r="AA56">
            <v>4.8994872093144771E-4</v>
          </cell>
          <cell r="AB56">
            <v>2.5471698113207547E-3</v>
          </cell>
          <cell r="AC56">
            <v>1.3725281711995694E-2</v>
          </cell>
        </row>
        <row r="57">
          <cell r="A57">
            <v>53</v>
          </cell>
          <cell r="B57" t="str">
            <v xml:space="preserve">MUNA </v>
          </cell>
          <cell r="C57">
            <v>13494</v>
          </cell>
          <cell r="D57">
            <v>5.8141288415087611E-3</v>
          </cell>
          <cell r="E57">
            <v>3.7210424585656073E-3</v>
          </cell>
          <cell r="F57">
            <v>114853.17</v>
          </cell>
          <cell r="G57">
            <v>170468.5</v>
          </cell>
          <cell r="H57">
            <v>285321.67</v>
          </cell>
          <cell r="I57">
            <v>2.6453267696780369E-4</v>
          </cell>
          <cell r="J57">
            <v>8.729578339937522E-5</v>
          </cell>
          <cell r="K57">
            <v>107082.86</v>
          </cell>
          <cell r="L57">
            <v>148712</v>
          </cell>
          <cell r="M57">
            <v>255794.86</v>
          </cell>
          <cell r="N57">
            <v>2.4427389282896835E-4</v>
          </cell>
          <cell r="O57">
            <v>8.0610384633559556E-5</v>
          </cell>
          <cell r="P57">
            <v>132395.34</v>
          </cell>
          <cell r="Q57">
            <v>96550</v>
          </cell>
          <cell r="R57">
            <v>228945.34</v>
          </cell>
          <cell r="S57">
            <v>1.8289545570143547E-4</v>
          </cell>
          <cell r="T57">
            <v>6.2184454938488058E-5</v>
          </cell>
          <cell r="U57">
            <v>2.3009062297142283E-4</v>
          </cell>
          <cell r="V57">
            <v>1.0354078033714027E-5</v>
          </cell>
          <cell r="W57">
            <v>3.6579091140287093E-6</v>
          </cell>
          <cell r="X57">
            <v>55.289821135970499</v>
          </cell>
          <cell r="Y57">
            <v>16338.562762880752</v>
          </cell>
          <cell r="Z57">
            <v>7.0754424654364554E-3</v>
          </cell>
          <cell r="AA57">
            <v>1.7688606163591139E-4</v>
          </cell>
          <cell r="AB57">
            <v>2.5471698113207547E-3</v>
          </cell>
          <cell r="AC57">
            <v>6.4591103186700163E-3</v>
          </cell>
        </row>
        <row r="58">
          <cell r="A58">
            <v>54</v>
          </cell>
          <cell r="B58" t="str">
            <v xml:space="preserve">MUXUPIP </v>
          </cell>
          <cell r="C58">
            <v>2990</v>
          </cell>
          <cell r="D58">
            <v>1.2882944446503035E-3</v>
          </cell>
          <cell r="E58">
            <v>8.2450844457619427E-4</v>
          </cell>
          <cell r="F58">
            <v>73873</v>
          </cell>
          <cell r="G58">
            <v>0</v>
          </cell>
          <cell r="H58">
            <v>73873</v>
          </cell>
          <cell r="I58">
            <v>6.8490495116065202E-5</v>
          </cell>
          <cell r="J58">
            <v>2.2601863388301519E-5</v>
          </cell>
          <cell r="K58">
            <v>25239</v>
          </cell>
          <cell r="L58">
            <v>0</v>
          </cell>
          <cell r="M58">
            <v>25239</v>
          </cell>
          <cell r="N58">
            <v>2.4102238727980432E-5</v>
          </cell>
          <cell r="O58">
            <v>7.9537387802335425E-6</v>
          </cell>
          <cell r="P58">
            <v>34082.019999999997</v>
          </cell>
          <cell r="Q58">
            <v>0</v>
          </cell>
          <cell r="R58">
            <v>34082.019999999997</v>
          </cell>
          <cell r="S58">
            <v>2.7226789499735776E-5</v>
          </cell>
          <cell r="T58">
            <v>9.2571084299101647E-6</v>
          </cell>
          <cell r="U58">
            <v>3.981271059844523E-5</v>
          </cell>
          <cell r="V58">
            <v>1.7915719769300353E-6</v>
          </cell>
          <cell r="W58">
            <v>5.4453578999471553E-7</v>
          </cell>
          <cell r="X58">
            <v>53.925003128932701</v>
          </cell>
          <cell r="Y58">
            <v>4214.4634378379196</v>
          </cell>
          <cell r="Z58">
            <v>1.8250805783758012E-3</v>
          </cell>
          <cell r="AA58">
            <v>4.5627014459395035E-5</v>
          </cell>
          <cell r="AB58">
            <v>2.5471698113207547E-3</v>
          </cell>
          <cell r="AC58">
            <v>3.419641378123269E-3</v>
          </cell>
        </row>
        <row r="59">
          <cell r="A59">
            <v>55</v>
          </cell>
          <cell r="B59" t="str">
            <v xml:space="preserve">OPICHEN </v>
          </cell>
          <cell r="C59">
            <v>7080</v>
          </cell>
          <cell r="D59">
            <v>3.0505433672656014E-3</v>
          </cell>
          <cell r="E59">
            <v>1.9523477550499849E-3</v>
          </cell>
          <cell r="F59">
            <v>29950.34</v>
          </cell>
          <cell r="G59">
            <v>35455</v>
          </cell>
          <cell r="H59">
            <v>65405.34</v>
          </cell>
          <cell r="I59">
            <v>6.0639802361276561E-5</v>
          </cell>
          <cell r="J59">
            <v>2.0011134779221267E-5</v>
          </cell>
          <cell r="K59">
            <v>108808.77</v>
          </cell>
          <cell r="L59">
            <v>60250</v>
          </cell>
          <cell r="M59">
            <v>169058.77000000002</v>
          </cell>
          <cell r="N59">
            <v>1.6144438502312838E-4</v>
          </cell>
          <cell r="O59">
            <v>5.3276647057632365E-5</v>
          </cell>
          <cell r="P59">
            <v>43208</v>
          </cell>
          <cell r="Q59">
            <v>7716</v>
          </cell>
          <cell r="R59">
            <v>50924</v>
          </cell>
          <cell r="S59">
            <v>4.0681186986115989E-5</v>
          </cell>
          <cell r="T59">
            <v>1.3831603575279438E-5</v>
          </cell>
          <cell r="U59">
            <v>8.7119385412133066E-5</v>
          </cell>
          <cell r="V59">
            <v>3.920372343545988E-6</v>
          </cell>
          <cell r="W59">
            <v>8.136237397223198E-7</v>
          </cell>
          <cell r="X59">
            <v>53.747974986357903</v>
          </cell>
          <cell r="Y59">
            <v>10161.887481262924</v>
          </cell>
          <cell r="Z59">
            <v>4.4006227020936383E-3</v>
          </cell>
          <cell r="AA59">
            <v>1.1001556755234096E-4</v>
          </cell>
          <cell r="AB59">
            <v>2.5471698113207547E-3</v>
          </cell>
          <cell r="AC59">
            <v>4.6142671300063486E-3</v>
          </cell>
        </row>
        <row r="60">
          <cell r="A60">
            <v>56</v>
          </cell>
          <cell r="B60" t="str">
            <v xml:space="preserve">OXKUTZCAB </v>
          </cell>
          <cell r="C60">
            <v>33854</v>
          </cell>
          <cell r="D60">
            <v>1.458659536093357E-2</v>
          </cell>
          <cell r="E60">
            <v>9.3354210309974858E-3</v>
          </cell>
          <cell r="F60">
            <v>683157</v>
          </cell>
          <cell r="G60">
            <v>1447128</v>
          </cell>
          <cell r="H60">
            <v>2130285</v>
          </cell>
          <cell r="I60">
            <v>1.9750690291219651E-3</v>
          </cell>
          <cell r="J60">
            <v>6.5177277961024854E-4</v>
          </cell>
          <cell r="K60">
            <v>413281</v>
          </cell>
          <cell r="L60">
            <v>1083193</v>
          </cell>
          <cell r="M60">
            <v>1496474</v>
          </cell>
          <cell r="N60">
            <v>1.4290730059913542E-3</v>
          </cell>
          <cell r="O60">
            <v>4.7159409197714691E-4</v>
          </cell>
          <cell r="P60">
            <v>628382</v>
          </cell>
          <cell r="Q60">
            <v>1454752</v>
          </cell>
          <cell r="R60">
            <v>2083134</v>
          </cell>
          <cell r="S60">
            <v>1.6641340776674209E-3</v>
          </cell>
          <cell r="T60">
            <v>5.6580558640692319E-4</v>
          </cell>
          <cell r="U60">
            <v>1.6891724579943185E-3</v>
          </cell>
          <cell r="V60">
            <v>7.6012760609744327E-5</v>
          </cell>
          <cell r="W60">
            <v>3.3282681553348417E-5</v>
          </cell>
          <cell r="X60">
            <v>53.498647106860702</v>
          </cell>
          <cell r="Y60">
            <v>49819.444202935534</v>
          </cell>
          <cell r="Z60">
            <v>2.1574395265580977E-2</v>
          </cell>
          <cell r="AA60">
            <v>5.393598816395244E-4</v>
          </cell>
          <cell r="AB60">
            <v>2.5471698113207547E-3</v>
          </cell>
          <cell r="AC60">
            <v>1.2531246166120859E-2</v>
          </cell>
        </row>
        <row r="61">
          <cell r="A61">
            <v>57</v>
          </cell>
          <cell r="B61" t="str">
            <v xml:space="preserve">PANABA </v>
          </cell>
          <cell r="C61">
            <v>7766</v>
          </cell>
          <cell r="D61">
            <v>3.3461186144328617E-3</v>
          </cell>
          <cell r="E61">
            <v>2.1415159132370317E-3</v>
          </cell>
          <cell r="F61">
            <v>291907</v>
          </cell>
          <cell r="G61">
            <v>248611</v>
          </cell>
          <cell r="H61">
            <v>540518</v>
          </cell>
          <cell r="I61">
            <v>5.0113499437068115E-4</v>
          </cell>
          <cell r="J61">
            <v>1.6537454814232478E-4</v>
          </cell>
          <cell r="K61">
            <v>272207</v>
          </cell>
          <cell r="L61">
            <v>163474</v>
          </cell>
          <cell r="M61">
            <v>435681</v>
          </cell>
          <cell r="N61">
            <v>4.1605798451781932E-4</v>
          </cell>
          <cell r="O61">
            <v>1.3729913489088038E-4</v>
          </cell>
          <cell r="P61">
            <v>262459</v>
          </cell>
          <cell r="Q61">
            <v>250073</v>
          </cell>
          <cell r="R61">
            <v>512532</v>
          </cell>
          <cell r="S61">
            <v>4.0944171958934885E-4</v>
          </cell>
          <cell r="T61">
            <v>1.3921018466037861E-4</v>
          </cell>
          <cell r="U61">
            <v>4.4188386769358377E-4</v>
          </cell>
          <cell r="V61">
            <v>1.988477404621127E-5</v>
          </cell>
          <cell r="W61">
            <v>8.1888343917869768E-6</v>
          </cell>
          <cell r="X61">
            <v>54.5529252086478</v>
          </cell>
          <cell r="Y61">
            <v>10236.318699995747</v>
          </cell>
          <cell r="Z61">
            <v>4.4328552682880683E-3</v>
          </cell>
          <cell r="AA61">
            <v>1.1082138170720171E-4</v>
          </cell>
          <cell r="AB61">
            <v>2.5471698113207547E-3</v>
          </cell>
          <cell r="AC61">
            <v>4.8275807147029857E-3</v>
          </cell>
        </row>
        <row r="62">
          <cell r="A62">
            <v>58</v>
          </cell>
          <cell r="B62" t="str">
            <v xml:space="preserve">PETO </v>
          </cell>
          <cell r="C62">
            <v>25954</v>
          </cell>
          <cell r="D62">
            <v>1.1182740473730426E-2</v>
          </cell>
          <cell r="E62">
            <v>7.1569539031874733E-3</v>
          </cell>
          <cell r="F62">
            <v>64662</v>
          </cell>
          <cell r="G62">
            <v>754229.5</v>
          </cell>
          <cell r="H62">
            <v>818891.5</v>
          </cell>
          <cell r="I62">
            <v>7.5922575611302233E-4</v>
          </cell>
          <cell r="J62">
            <v>2.5054449951729738E-4</v>
          </cell>
          <cell r="K62">
            <v>130500</v>
          </cell>
          <cell r="L62">
            <v>920941.5</v>
          </cell>
          <cell r="M62">
            <v>1051441.5</v>
          </cell>
          <cell r="N62">
            <v>1.0040847118152794E-3</v>
          </cell>
          <cell r="O62">
            <v>3.3134795489904223E-4</v>
          </cell>
          <cell r="P62">
            <v>903072</v>
          </cell>
          <cell r="Q62">
            <v>708659.5</v>
          </cell>
          <cell r="R62">
            <v>1611731.5</v>
          </cell>
          <cell r="S62">
            <v>1.2875491030341921E-3</v>
          </cell>
          <cell r="T62">
            <v>4.3776669503162532E-4</v>
          </cell>
          <cell r="U62">
            <v>1.0196591494479649E-3</v>
          </cell>
          <cell r="V62">
            <v>4.5884661725158416E-5</v>
          </cell>
          <cell r="W62">
            <v>2.5750982060683841E-5</v>
          </cell>
          <cell r="X62">
            <v>53.432239749830401</v>
          </cell>
          <cell r="Y62">
            <v>38444.774971990453</v>
          </cell>
          <cell r="Z62">
            <v>1.6648575358718359E-2</v>
          </cell>
          <cell r="AA62">
            <v>4.1621438396795903E-4</v>
          </cell>
          <cell r="AB62">
            <v>2.5471698113207547E-3</v>
          </cell>
          <cell r="AC62">
            <v>1.019197374226203E-2</v>
          </cell>
        </row>
        <row r="63">
          <cell r="A63">
            <v>59</v>
          </cell>
          <cell r="B63" t="str">
            <v xml:space="preserve">PROGRESO </v>
          </cell>
          <cell r="C63">
            <v>66008</v>
          </cell>
          <cell r="D63">
            <v>2.8440715619557601E-2</v>
          </cell>
          <cell r="E63">
            <v>1.8202057996516866E-2</v>
          </cell>
          <cell r="F63">
            <v>20797431.239999998</v>
          </cell>
          <cell r="G63">
            <v>32458999.370000001</v>
          </cell>
          <cell r="H63">
            <v>53256430.609999999</v>
          </cell>
          <cell r="I63">
            <v>4.9376081932414682E-2</v>
          </cell>
          <cell r="J63">
            <v>1.6294107037696844E-2</v>
          </cell>
          <cell r="K63">
            <v>21037197.289999999</v>
          </cell>
          <cell r="L63">
            <v>28527405.07</v>
          </cell>
          <cell r="M63">
            <v>49564602.359999999</v>
          </cell>
          <cell r="N63">
            <v>4.7332219126674679E-2</v>
          </cell>
          <cell r="O63">
            <v>1.5619632311802646E-2</v>
          </cell>
          <cell r="P63">
            <v>24042782.5</v>
          </cell>
          <cell r="Q63">
            <v>34850539.630000003</v>
          </cell>
          <cell r="R63">
            <v>58893322.130000003</v>
          </cell>
          <cell r="S63">
            <v>4.704756597683004E-2</v>
          </cell>
          <cell r="T63">
            <v>1.5996172432122216E-2</v>
          </cell>
          <cell r="U63">
            <v>4.7909911781621704E-2</v>
          </cell>
          <cell r="V63">
            <v>2.1559460301729767E-3</v>
          </cell>
          <cell r="W63">
            <v>9.4095131953660083E-4</v>
          </cell>
          <cell r="X63">
            <v>57.637201221370603</v>
          </cell>
          <cell r="Y63">
            <v>57362.5033311343</v>
          </cell>
          <cell r="Z63">
            <v>2.4840929883681348E-2</v>
          </cell>
          <cell r="AA63">
            <v>6.2102324709203374E-4</v>
          </cell>
          <cell r="AB63">
            <v>2.5471698113207547E-3</v>
          </cell>
          <cell r="AC63">
            <v>2.4467148404639233E-2</v>
          </cell>
        </row>
        <row r="64">
          <cell r="A64">
            <v>60</v>
          </cell>
          <cell r="B64" t="str">
            <v xml:space="preserve">QUINTANA ROO </v>
          </cell>
          <cell r="C64">
            <v>976</v>
          </cell>
          <cell r="D64">
            <v>4.2052688226712248E-4</v>
          </cell>
          <cell r="E64">
            <v>2.6913720465095842E-4</v>
          </cell>
          <cell r="F64">
            <v>5080</v>
          </cell>
          <cell r="G64">
            <v>0</v>
          </cell>
          <cell r="H64">
            <v>5080</v>
          </cell>
          <cell r="I64">
            <v>4.7098630783860299E-6</v>
          </cell>
          <cell r="J64">
            <v>1.5542548158673899E-6</v>
          </cell>
          <cell r="K64">
            <v>13557</v>
          </cell>
          <cell r="L64">
            <v>0</v>
          </cell>
          <cell r="M64">
            <v>13557</v>
          </cell>
          <cell r="N64">
            <v>1.2946394486121904E-5</v>
          </cell>
          <cell r="O64">
            <v>4.272310180420229E-6</v>
          </cell>
          <cell r="P64">
            <v>7092</v>
          </cell>
          <cell r="Q64">
            <v>0</v>
          </cell>
          <cell r="R64">
            <v>7092</v>
          </cell>
          <cell r="S64">
            <v>5.6655207388566212E-6</v>
          </cell>
          <cell r="T64">
            <v>1.9262770512112512E-6</v>
          </cell>
          <cell r="U64">
            <v>7.7528420474988697E-6</v>
          </cell>
          <cell r="V64">
            <v>3.4887789213744911E-7</v>
          </cell>
          <cell r="W64">
            <v>1.1331041477713242E-7</v>
          </cell>
          <cell r="X64">
            <v>53.360424298096497</v>
          </cell>
          <cell r="Y64">
            <v>1455.9208888644173</v>
          </cell>
          <cell r="Z64">
            <v>6.3048902359946659E-4</v>
          </cell>
          <cell r="AA64">
            <v>1.5762225589986665E-5</v>
          </cell>
          <cell r="AB64">
            <v>2.5471698113207547E-3</v>
          </cell>
          <cell r="AC64">
            <v>2.8325314298686143E-3</v>
          </cell>
        </row>
        <row r="65">
          <cell r="A65">
            <v>61</v>
          </cell>
          <cell r="B65" t="str">
            <v xml:space="preserve">RIO LAGARTOS </v>
          </cell>
          <cell r="C65">
            <v>3974</v>
          </cell>
          <cell r="D65">
            <v>1.7122682685753532E-3</v>
          </cell>
          <cell r="E65">
            <v>1.0958516918882261E-3</v>
          </cell>
          <cell r="F65">
            <v>109142.29</v>
          </cell>
          <cell r="G65">
            <v>77654</v>
          </cell>
          <cell r="H65">
            <v>186796.28999999998</v>
          </cell>
          <cell r="I65">
            <v>1.7318601367135621E-4</v>
          </cell>
          <cell r="J65">
            <v>5.715138451154755E-5</v>
          </cell>
          <cell r="K65">
            <v>74409.75</v>
          </cell>
          <cell r="L65">
            <v>33613</v>
          </cell>
          <cell r="M65">
            <v>108022.75</v>
          </cell>
          <cell r="N65">
            <v>1.031574194125341E-4</v>
          </cell>
          <cell r="O65">
            <v>3.4041948406136253E-5</v>
          </cell>
          <cell r="P65">
            <v>325191.34000000003</v>
          </cell>
          <cell r="Q65">
            <v>55258</v>
          </cell>
          <cell r="R65">
            <v>380449.34</v>
          </cell>
          <cell r="S65">
            <v>3.039260611751712E-4</v>
          </cell>
          <cell r="T65">
            <v>1.0333486079955822E-4</v>
          </cell>
          <cell r="U65">
            <v>1.9452819371724203E-4</v>
          </cell>
          <cell r="V65">
            <v>8.7537687172758903E-6</v>
          </cell>
          <cell r="W65">
            <v>6.0785212235034238E-6</v>
          </cell>
          <cell r="X65">
            <v>54.185868028603402</v>
          </cell>
          <cell r="Y65">
            <v>5450.4904821504551</v>
          </cell>
          <cell r="Z65">
            <v>2.3603441976229851E-3</v>
          </cell>
          <cell r="AA65">
            <v>5.9008604940574631E-5</v>
          </cell>
          <cell r="AB65">
            <v>2.5471698113207547E-3</v>
          </cell>
          <cell r="AC65">
            <v>3.7168623980903346E-3</v>
          </cell>
        </row>
        <row r="66">
          <cell r="A66">
            <v>62</v>
          </cell>
          <cell r="B66" t="str">
            <v xml:space="preserve">SACALUM </v>
          </cell>
          <cell r="C66">
            <v>4962</v>
          </cell>
          <cell r="D66">
            <v>2.1379655633293666E-3</v>
          </cell>
          <cell r="E66">
            <v>1.3682979605307945E-3</v>
          </cell>
          <cell r="F66">
            <v>28230</v>
          </cell>
          <cell r="G66">
            <v>4383</v>
          </cell>
          <cell r="H66">
            <v>32613</v>
          </cell>
          <cell r="I66">
            <v>3.0236764680197557E-5</v>
          </cell>
          <cell r="J66">
            <v>9.9781323444651937E-6</v>
          </cell>
          <cell r="K66">
            <v>2240</v>
          </cell>
          <cell r="L66">
            <v>51700</v>
          </cell>
          <cell r="M66">
            <v>53940</v>
          </cell>
          <cell r="N66">
            <v>5.1510549426968758E-5</v>
          </cell>
          <cell r="O66">
            <v>1.6998481310899691E-5</v>
          </cell>
          <cell r="P66">
            <v>83840</v>
          </cell>
          <cell r="Q66">
            <v>20662</v>
          </cell>
          <cell r="R66">
            <v>104502</v>
          </cell>
          <cell r="S66">
            <v>8.3482550514945666E-5</v>
          </cell>
          <cell r="T66">
            <v>2.8384067175081529E-5</v>
          </cell>
          <cell r="U66">
            <v>5.5360680830446414E-5</v>
          </cell>
          <cell r="V66">
            <v>2.4912306373700886E-6</v>
          </cell>
          <cell r="W66">
            <v>1.6696510102989133E-6</v>
          </cell>
          <cell r="X66">
            <v>53.861120986884899</v>
          </cell>
          <cell r="Y66">
            <v>7040.1887317440269</v>
          </cell>
          <cell r="Z66">
            <v>3.0487657354070826E-3</v>
          </cell>
          <cell r="AA66">
            <v>7.6219143385177073E-5</v>
          </cell>
          <cell r="AB66">
            <v>2.5471698113207547E-3</v>
          </cell>
          <cell r="AC66">
            <v>3.9958477968843956E-3</v>
          </cell>
        </row>
        <row r="67">
          <cell r="A67">
            <v>63</v>
          </cell>
          <cell r="B67" t="str">
            <v xml:space="preserve">SAMAHIL </v>
          </cell>
          <cell r="C67">
            <v>5631</v>
          </cell>
          <cell r="D67">
            <v>2.4262160594735313E-3</v>
          </cell>
          <cell r="E67">
            <v>1.5527782780630601E-3</v>
          </cell>
          <cell r="F67">
            <v>47675</v>
          </cell>
          <cell r="G67">
            <v>314</v>
          </cell>
          <cell r="H67">
            <v>47989</v>
          </cell>
          <cell r="I67">
            <v>4.4492444737926614E-5</v>
          </cell>
          <cell r="J67">
            <v>1.4682506763515783E-5</v>
          </cell>
          <cell r="K67">
            <v>63670</v>
          </cell>
          <cell r="L67">
            <v>40700</v>
          </cell>
          <cell r="M67">
            <v>104370</v>
          </cell>
          <cell r="N67">
            <v>9.9669188796676478E-5</v>
          </cell>
          <cell r="O67">
            <v>3.2890832302903239E-5</v>
          </cell>
          <cell r="P67">
            <v>57225</v>
          </cell>
          <cell r="Q67">
            <v>530</v>
          </cell>
          <cell r="R67">
            <v>57755</v>
          </cell>
          <cell r="S67">
            <v>4.6138205058187279E-5</v>
          </cell>
          <cell r="T67">
            <v>1.5686989719783676E-5</v>
          </cell>
          <cell r="U67">
            <v>6.3260328786202705E-5</v>
          </cell>
          <cell r="V67">
            <v>2.8467147953791216E-6</v>
          </cell>
          <cell r="W67">
            <v>9.2276410116374564E-7</v>
          </cell>
          <cell r="X67">
            <v>53.765815015636697</v>
          </cell>
          <cell r="Y67">
            <v>8067.5186861958764</v>
          </cell>
          <cell r="Z67">
            <v>3.4936527240140235E-3</v>
          </cell>
          <cell r="AA67">
            <v>8.7341318100350588E-5</v>
          </cell>
          <cell r="AB67">
            <v>2.5471698113207547E-3</v>
          </cell>
          <cell r="AC67">
            <v>4.1910588863807085E-3</v>
          </cell>
        </row>
        <row r="68">
          <cell r="A68">
            <v>64</v>
          </cell>
          <cell r="B68" t="str">
            <v xml:space="preserve">SANAHCAT </v>
          </cell>
          <cell r="C68">
            <v>1701</v>
          </cell>
          <cell r="D68">
            <v>7.3290597001677801E-4</v>
          </cell>
          <cell r="E68">
            <v>4.6905982081073792E-4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53.841807072409097</v>
          </cell>
          <cell r="Y68">
            <v>2418.1975463275548</v>
          </cell>
          <cell r="Z68">
            <v>1.0472045710147571E-3</v>
          </cell>
          <cell r="AA68">
            <v>2.6180114275368929E-5</v>
          </cell>
          <cell r="AB68">
            <v>2.5471698113207547E-3</v>
          </cell>
          <cell r="AC68">
            <v>3.0424097464068615E-3</v>
          </cell>
        </row>
        <row r="69">
          <cell r="A69">
            <v>65</v>
          </cell>
          <cell r="B69" t="str">
            <v xml:space="preserve">SAN FELIPE </v>
          </cell>
          <cell r="C69">
            <v>2118</v>
          </cell>
          <cell r="D69">
            <v>9.1257780393623499E-4</v>
          </cell>
          <cell r="E69">
            <v>5.8404979451919046E-4</v>
          </cell>
          <cell r="F69">
            <v>50482.45</v>
          </cell>
          <cell r="G69">
            <v>57468</v>
          </cell>
          <cell r="H69">
            <v>107950.45</v>
          </cell>
          <cell r="I69">
            <v>1.000850076279837E-4</v>
          </cell>
          <cell r="J69">
            <v>3.3028052517234623E-5</v>
          </cell>
          <cell r="K69">
            <v>14146.33</v>
          </cell>
          <cell r="L69">
            <v>15000</v>
          </cell>
          <cell r="M69">
            <v>29146.33</v>
          </cell>
          <cell r="N69">
            <v>2.783358309380316E-5</v>
          </cell>
          <cell r="O69">
            <v>9.1850824209550429E-6</v>
          </cell>
          <cell r="P69">
            <v>29568.15</v>
          </cell>
          <cell r="Q69">
            <v>23027</v>
          </cell>
          <cell r="R69">
            <v>52595.15</v>
          </cell>
          <cell r="S69">
            <v>4.2016203199136329E-5</v>
          </cell>
          <cell r="T69">
            <v>1.4285509087706352E-5</v>
          </cell>
          <cell r="U69">
            <v>5.6498644025896022E-5</v>
          </cell>
          <cell r="V69">
            <v>2.5424389811653208E-6</v>
          </cell>
          <cell r="W69">
            <v>8.4032406398272664E-7</v>
          </cell>
          <cell r="X69">
            <v>55.898255398957801</v>
          </cell>
          <cell r="Y69">
            <v>2376.8492814650704</v>
          </cell>
          <cell r="Z69">
            <v>1.0292986344078486E-3</v>
          </cell>
          <cell r="AA69">
            <v>2.5732465860196218E-5</v>
          </cell>
          <cell r="AB69">
            <v>2.5471698113207547E-3</v>
          </cell>
          <cell r="AC69">
            <v>3.1603348347452893E-3</v>
          </cell>
        </row>
        <row r="70">
          <cell r="A70">
            <v>66</v>
          </cell>
          <cell r="B70" t="str">
            <v xml:space="preserve">SANTA ELENA </v>
          </cell>
          <cell r="C70">
            <v>4220</v>
          </cell>
          <cell r="D70">
            <v>1.8182617245566155E-3</v>
          </cell>
          <cell r="E70">
            <v>1.1636875037162339E-3</v>
          </cell>
          <cell r="F70">
            <v>195598.8</v>
          </cell>
          <cell r="G70">
            <v>13865</v>
          </cell>
          <cell r="H70">
            <v>209463.8</v>
          </cell>
          <cell r="I70">
            <v>1.9420193265323537E-4</v>
          </cell>
          <cell r="J70">
            <v>6.4086637775567678E-5</v>
          </cell>
          <cell r="K70">
            <v>232801.6</v>
          </cell>
          <cell r="L70">
            <v>7077.5</v>
          </cell>
          <cell r="M70">
            <v>239879.1</v>
          </cell>
          <cell r="N70">
            <v>2.2907497658596185E-4</v>
          </cell>
          <cell r="O70">
            <v>7.5594742273367413E-5</v>
          </cell>
          <cell r="P70">
            <v>355436</v>
          </cell>
          <cell r="Q70">
            <v>10620</v>
          </cell>
          <cell r="R70">
            <v>366056</v>
          </cell>
          <cell r="S70">
            <v>2.9242778617920181E-4</v>
          </cell>
          <cell r="T70">
            <v>9.9425447300928628E-5</v>
          </cell>
          <cell r="U70">
            <v>2.3910682734986372E-4</v>
          </cell>
          <cell r="V70">
            <v>1.0759807230743868E-5</v>
          </cell>
          <cell r="W70">
            <v>5.8485557235840366E-6</v>
          </cell>
          <cell r="X70">
            <v>51.8906868964079</v>
          </cell>
          <cell r="Y70">
            <v>7198.1214688662976</v>
          </cell>
          <cell r="Z70">
            <v>3.1171587765291709E-3</v>
          </cell>
          <cell r="AA70">
            <v>7.7928969413229273E-5</v>
          </cell>
          <cell r="AB70">
            <v>2.5471698113207547E-3</v>
          </cell>
          <cell r="AC70">
            <v>3.8053946474045459E-3</v>
          </cell>
        </row>
        <row r="71">
          <cell r="A71">
            <v>67</v>
          </cell>
          <cell r="B71" t="str">
            <v xml:space="preserve">SEYE </v>
          </cell>
          <cell r="C71">
            <v>10053</v>
          </cell>
          <cell r="D71">
            <v>4.3315130608928094E-3</v>
          </cell>
          <cell r="E71">
            <v>2.7721683589713979E-3</v>
          </cell>
          <cell r="F71">
            <v>185122</v>
          </cell>
          <cell r="G71">
            <v>1800</v>
          </cell>
          <cell r="H71">
            <v>186922</v>
          </cell>
          <cell r="I71">
            <v>1.7330256423977823E-4</v>
          </cell>
          <cell r="J71">
            <v>5.7189846199126819E-5</v>
          </cell>
          <cell r="K71">
            <v>125684.63</v>
          </cell>
          <cell r="L71">
            <v>25222</v>
          </cell>
          <cell r="M71">
            <v>150906.63</v>
          </cell>
          <cell r="N71">
            <v>1.441098150439801E-4</v>
          </cell>
          <cell r="O71">
            <v>4.7556238964513437E-5</v>
          </cell>
          <cell r="P71">
            <v>267402</v>
          </cell>
          <cell r="Q71">
            <v>0</v>
          </cell>
          <cell r="R71">
            <v>267402</v>
          </cell>
          <cell r="S71">
            <v>2.1361697357751526E-4</v>
          </cell>
          <cell r="T71">
            <v>7.2629771016355198E-5</v>
          </cell>
          <cell r="U71">
            <v>1.7737585617999546E-4</v>
          </cell>
          <cell r="V71">
            <v>7.9819135280997954E-6</v>
          </cell>
          <cell r="W71">
            <v>4.2723394715503049E-6</v>
          </cell>
          <cell r="X71">
            <v>55.445318645896997</v>
          </cell>
          <cell r="Y71">
            <v>11944.588616647296</v>
          </cell>
          <cell r="Z71">
            <v>5.172624468683322E-3</v>
          </cell>
          <cell r="AA71">
            <v>1.2931561171708307E-4</v>
          </cell>
          <cell r="AB71">
            <v>2.5471698113207547E-3</v>
          </cell>
          <cell r="AC71">
            <v>5.4609080350088851E-3</v>
          </cell>
        </row>
        <row r="72">
          <cell r="A72">
            <v>68</v>
          </cell>
          <cell r="B72" t="str">
            <v xml:space="preserve">SINANCHE </v>
          </cell>
          <cell r="C72">
            <v>3206</v>
          </cell>
          <cell r="D72">
            <v>1.3813618694143387E-3</v>
          </cell>
          <cell r="E72">
            <v>8.8407159642517677E-4</v>
          </cell>
          <cell r="F72">
            <v>791186</v>
          </cell>
          <cell r="G72">
            <v>70210</v>
          </cell>
          <cell r="H72">
            <v>861396</v>
          </cell>
          <cell r="I72">
            <v>7.9863331028925445E-4</v>
          </cell>
          <cell r="J72">
            <v>2.6354899239545396E-4</v>
          </cell>
          <cell r="K72">
            <v>362008</v>
          </cell>
          <cell r="L72">
            <v>28575</v>
          </cell>
          <cell r="M72">
            <v>390583</v>
          </cell>
          <cell r="N72">
            <v>3.7299119256273153E-4</v>
          </cell>
          <cell r="O72">
            <v>1.230870935457014E-4</v>
          </cell>
          <cell r="P72">
            <v>3004816.4</v>
          </cell>
          <cell r="Q72">
            <v>60326</v>
          </cell>
          <cell r="R72">
            <v>3065142.4</v>
          </cell>
          <cell r="S72">
            <v>2.4486220861179861E-3</v>
          </cell>
          <cell r="T72">
            <v>8.3253150928011533E-4</v>
          </cell>
          <cell r="U72">
            <v>1.2191675952212707E-3</v>
          </cell>
          <cell r="V72">
            <v>5.486254178495718E-5</v>
          </cell>
          <cell r="W72">
            <v>4.8972441722359724E-5</v>
          </cell>
          <cell r="X72">
            <v>54.318587521295797</v>
          </cell>
          <cell r="Y72">
            <v>4335.196984019256</v>
          </cell>
          <cell r="Z72">
            <v>1.8773644464278245E-3</v>
          </cell>
          <cell r="AA72">
            <v>4.6934111160695613E-5</v>
          </cell>
          <cell r="AB72">
            <v>2.5471698113207547E-3</v>
          </cell>
          <cell r="AC72">
            <v>3.5820105024139438E-3</v>
          </cell>
        </row>
        <row r="73">
          <cell r="A73">
            <v>69</v>
          </cell>
          <cell r="B73" t="str">
            <v xml:space="preserve">SOTUTA </v>
          </cell>
          <cell r="C73">
            <v>8967</v>
          </cell>
          <cell r="D73">
            <v>3.8635907308291876E-3</v>
          </cell>
          <cell r="E73">
            <v>2.4726980677306802E-3</v>
          </cell>
          <cell r="F73">
            <v>50318</v>
          </cell>
          <cell r="G73">
            <v>735</v>
          </cell>
          <cell r="H73">
            <v>51053</v>
          </cell>
          <cell r="I73">
            <v>4.7333196799378344E-5</v>
          </cell>
          <cell r="J73">
            <v>1.5619954943794854E-5</v>
          </cell>
          <cell r="K73">
            <v>1010</v>
          </cell>
          <cell r="L73">
            <v>1050</v>
          </cell>
          <cell r="M73">
            <v>2060</v>
          </cell>
          <cell r="N73">
            <v>1.9672178683640277E-6</v>
          </cell>
          <cell r="O73">
            <v>6.4918189656012917E-7</v>
          </cell>
          <cell r="P73">
            <v>22345</v>
          </cell>
          <cell r="Q73">
            <v>12380</v>
          </cell>
          <cell r="R73">
            <v>34725</v>
          </cell>
          <cell r="S73">
            <v>2.7740441011956597E-5</v>
          </cell>
          <cell r="T73">
            <v>9.4317499440652442E-6</v>
          </cell>
          <cell r="U73">
            <v>2.5700886784420226E-5</v>
          </cell>
          <cell r="V73">
            <v>1.1565399052989102E-6</v>
          </cell>
          <cell r="W73">
            <v>5.54808820239132E-7</v>
          </cell>
          <cell r="X73">
            <v>52.165796274229599</v>
          </cell>
          <cell r="Y73">
            <v>14935.973780187944</v>
          </cell>
          <cell r="Z73">
            <v>6.4680489147476514E-3</v>
          </cell>
          <cell r="AA73">
            <v>1.6170122286869129E-4</v>
          </cell>
          <cell r="AB73">
            <v>2.5471698113207547E-3</v>
          </cell>
          <cell r="AC73">
            <v>5.1832804506456633E-3</v>
          </cell>
        </row>
        <row r="74">
          <cell r="A74">
            <v>70</v>
          </cell>
          <cell r="B74" t="str">
            <v xml:space="preserve">SUCILA </v>
          </cell>
          <cell r="C74">
            <v>3971</v>
          </cell>
          <cell r="D74">
            <v>1.7109756654536303E-3</v>
          </cell>
          <cell r="E74">
            <v>1.0950244258903234E-3</v>
          </cell>
          <cell r="F74">
            <v>102897.32</v>
          </cell>
          <cell r="G74">
            <v>536345</v>
          </cell>
          <cell r="H74">
            <v>639242.32000000007</v>
          </cell>
          <cell r="I74">
            <v>5.926661025806748E-4</v>
          </cell>
          <cell r="J74">
            <v>1.9557981385162268E-4</v>
          </cell>
          <cell r="K74">
            <v>82675.929999999993</v>
          </cell>
          <cell r="L74">
            <v>336122.77</v>
          </cell>
          <cell r="M74">
            <v>418798.7</v>
          </cell>
          <cell r="N74">
            <v>3.99936061110498E-4</v>
          </cell>
          <cell r="O74">
            <v>1.3197890016646433E-4</v>
          </cell>
          <cell r="P74">
            <v>76656.7</v>
          </cell>
          <cell r="Q74">
            <v>390060</v>
          </cell>
          <cell r="R74">
            <v>466716.7</v>
          </cell>
          <cell r="S74">
            <v>3.7284167273275861E-4</v>
          </cell>
          <cell r="T74">
            <v>1.2676616872913795E-4</v>
          </cell>
          <cell r="U74">
            <v>4.5432488274722491E-4</v>
          </cell>
          <cell r="V74">
            <v>2.0444619723625122E-5</v>
          </cell>
          <cell r="W74">
            <v>7.4568334546551723E-6</v>
          </cell>
          <cell r="X74">
            <v>54.558086766794098</v>
          </cell>
          <cell r="Y74">
            <v>5231.1673325832244</v>
          </cell>
          <cell r="Z74">
            <v>2.2653659337069708E-3</v>
          </cell>
          <cell r="AA74">
            <v>5.6634148342674272E-5</v>
          </cell>
          <cell r="AB74">
            <v>2.5471698113207547E-3</v>
          </cell>
          <cell r="AC74">
            <v>3.7267298387320329E-3</v>
          </cell>
        </row>
        <row r="75">
          <cell r="A75">
            <v>71</v>
          </cell>
          <cell r="B75" t="str">
            <v xml:space="preserve">SUDZAL </v>
          </cell>
          <cell r="C75">
            <v>1949</v>
          </cell>
          <cell r="D75">
            <v>8.397611614125222E-4</v>
          </cell>
          <cell r="E75">
            <v>5.374471433040142E-4</v>
          </cell>
          <cell r="F75">
            <v>13901.9</v>
          </cell>
          <cell r="G75">
            <v>0</v>
          </cell>
          <cell r="H75">
            <v>13901.9</v>
          </cell>
          <cell r="I75">
            <v>1.2888985340435974E-5</v>
          </cell>
          <cell r="J75">
            <v>4.2533651623438719E-6</v>
          </cell>
          <cell r="K75">
            <v>22964.26</v>
          </cell>
          <cell r="L75">
            <v>1050</v>
          </cell>
          <cell r="M75">
            <v>24014.26</v>
          </cell>
          <cell r="N75">
            <v>2.2932660858028897E-5</v>
          </cell>
          <cell r="O75">
            <v>7.5677780831495369E-6</v>
          </cell>
          <cell r="P75">
            <v>8835.5</v>
          </cell>
          <cell r="Q75">
            <v>0</v>
          </cell>
          <cell r="R75">
            <v>8835.5</v>
          </cell>
          <cell r="S75">
            <v>7.0583345301984881E-6</v>
          </cell>
          <cell r="T75">
            <v>2.3998337402674861E-6</v>
          </cell>
          <cell r="U75">
            <v>1.4220976985760895E-5</v>
          </cell>
          <cell r="V75">
            <v>6.3994396435924026E-7</v>
          </cell>
          <cell r="W75">
            <v>1.4116669060396977E-7</v>
          </cell>
          <cell r="X75">
            <v>52.130863354221503</v>
          </cell>
          <cell r="Y75">
            <v>3256.2845301738025</v>
          </cell>
          <cell r="Z75">
            <v>1.4101395684985732E-3</v>
          </cell>
          <cell r="AA75">
            <v>3.5253489212464331E-5</v>
          </cell>
          <cell r="AB75">
            <v>2.5471698113207547E-3</v>
          </cell>
          <cell r="AC75">
            <v>3.1206515544921964E-3</v>
          </cell>
        </row>
        <row r="76">
          <cell r="A76">
            <v>72</v>
          </cell>
          <cell r="B76" t="str">
            <v xml:space="preserve">SUMA </v>
          </cell>
          <cell r="C76">
            <v>1857</v>
          </cell>
          <cell r="D76">
            <v>8.0012133234635908E-4</v>
          </cell>
          <cell r="E76">
            <v>5.1207765270166984E-4</v>
          </cell>
          <cell r="F76">
            <v>18648</v>
          </cell>
          <cell r="G76">
            <v>33375</v>
          </cell>
          <cell r="H76">
            <v>52023</v>
          </cell>
          <cell r="I76">
            <v>4.8232521048597723E-5</v>
          </cell>
          <cell r="J76">
            <v>1.5916731946037249E-5</v>
          </cell>
          <cell r="K76">
            <v>15755</v>
          </cell>
          <cell r="L76">
            <v>70265</v>
          </cell>
          <cell r="M76">
            <v>86020</v>
          </cell>
          <cell r="N76">
            <v>8.2145670406152257E-5</v>
          </cell>
          <cell r="O76">
            <v>2.7108071234030246E-5</v>
          </cell>
          <cell r="P76">
            <v>21000</v>
          </cell>
          <cell r="Q76">
            <v>25815</v>
          </cell>
          <cell r="R76">
            <v>46815</v>
          </cell>
          <cell r="S76">
            <v>3.7398667990633493E-5</v>
          </cell>
          <cell r="T76">
            <v>1.2715547116815389E-5</v>
          </cell>
          <cell r="U76">
            <v>5.5740350296882889E-5</v>
          </cell>
          <cell r="V76">
            <v>2.5083157633597301E-6</v>
          </cell>
          <cell r="W76">
            <v>7.4797335981266988E-7</v>
          </cell>
          <cell r="X76">
            <v>55.370508882856697</v>
          </cell>
          <cell r="Y76">
            <v>2226.6431046603093</v>
          </cell>
          <cell r="Z76">
            <v>9.6425159340680292E-4</v>
          </cell>
          <cell r="AA76">
            <v>2.4106289835170074E-5</v>
          </cell>
          <cell r="AB76">
            <v>2.5471698113207547E-3</v>
          </cell>
          <cell r="AC76">
            <v>3.086610042980767E-3</v>
          </cell>
        </row>
        <row r="77">
          <cell r="A77">
            <v>73</v>
          </cell>
          <cell r="B77" t="str">
            <v xml:space="preserve">TAHDZIU </v>
          </cell>
          <cell r="C77">
            <v>5854</v>
          </cell>
          <cell r="D77">
            <v>2.522299558188253E-3</v>
          </cell>
          <cell r="E77">
            <v>1.6142717172404819E-3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49.4453324912743</v>
          </cell>
          <cell r="Y77">
            <v>12069.540635589279</v>
          </cell>
          <cell r="Z77">
            <v>5.2267351535578007E-3</v>
          </cell>
          <cell r="AA77">
            <v>1.3066837883894501E-4</v>
          </cell>
          <cell r="AB77">
            <v>2.5471698113207547E-3</v>
          </cell>
          <cell r="AC77">
            <v>4.2921099074001816E-3</v>
          </cell>
        </row>
        <row r="78">
          <cell r="A78">
            <v>74</v>
          </cell>
          <cell r="B78" t="str">
            <v xml:space="preserve">TAHMEK </v>
          </cell>
          <cell r="C78">
            <v>3774</v>
          </cell>
          <cell r="D78">
            <v>1.6260947271271723E-3</v>
          </cell>
          <cell r="E78">
            <v>1.0407006253613904E-3</v>
          </cell>
          <cell r="F78">
            <v>28879</v>
          </cell>
          <cell r="G78">
            <v>67960</v>
          </cell>
          <cell r="H78">
            <v>96839</v>
          </cell>
          <cell r="I78">
            <v>8.9783155639335584E-5</v>
          </cell>
          <cell r="J78">
            <v>2.9628441360980744E-5</v>
          </cell>
          <cell r="K78">
            <v>41023.5</v>
          </cell>
          <cell r="L78">
            <v>51380</v>
          </cell>
          <cell r="M78">
            <v>92403.5</v>
          </cell>
          <cell r="N78">
            <v>8.8241658397755055E-5</v>
          </cell>
          <cell r="O78">
            <v>2.9119747271259171E-5</v>
          </cell>
          <cell r="P78">
            <v>44539.73</v>
          </cell>
          <cell r="Q78">
            <v>12275</v>
          </cell>
          <cell r="R78">
            <v>56814.73</v>
          </cell>
          <cell r="S78">
            <v>4.5387060221029258E-5</v>
          </cell>
          <cell r="T78">
            <v>1.5431600475149948E-5</v>
          </cell>
          <cell r="U78">
            <v>7.417978910738986E-5</v>
          </cell>
          <cell r="V78">
            <v>3.3380905098325436E-6</v>
          </cell>
          <cell r="W78">
            <v>9.0774120442058518E-7</v>
          </cell>
          <cell r="X78">
            <v>53.410734766216201</v>
          </cell>
          <cell r="Y78">
            <v>5602.1143460788844</v>
          </cell>
          <cell r="Z78">
            <v>2.4260051704504148E-3</v>
          </cell>
          <cell r="AA78">
            <v>6.065012926126037E-5</v>
          </cell>
          <cell r="AB78">
            <v>2.5471698113207547E-3</v>
          </cell>
          <cell r="AC78">
            <v>3.6527663976576585E-3</v>
          </cell>
        </row>
        <row r="79">
          <cell r="A79">
            <v>75</v>
          </cell>
          <cell r="B79" t="str">
            <v xml:space="preserve">TEABO </v>
          </cell>
          <cell r="C79">
            <v>6921</v>
          </cell>
          <cell r="D79">
            <v>2.9820354018142976E-3</v>
          </cell>
          <cell r="E79">
            <v>1.9085026571611504E-3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33519</v>
          </cell>
          <cell r="L79">
            <v>28477.5</v>
          </cell>
          <cell r="M79">
            <v>61996.5</v>
          </cell>
          <cell r="N79">
            <v>5.9204185716519628E-5</v>
          </cell>
          <cell r="O79">
            <v>1.9537381286451477E-5</v>
          </cell>
          <cell r="P79">
            <v>10040</v>
          </cell>
          <cell r="Q79">
            <v>4800</v>
          </cell>
          <cell r="R79">
            <v>14840</v>
          </cell>
          <cell r="S79">
            <v>1.1855094157449557E-5</v>
          </cell>
          <cell r="T79">
            <v>4.03073201353285E-6</v>
          </cell>
          <cell r="U79">
            <v>2.3568113299984326E-5</v>
          </cell>
          <cell r="V79">
            <v>1.0605650984992947E-6</v>
          </cell>
          <cell r="W79">
            <v>2.3710188314899114E-7</v>
          </cell>
          <cell r="X79">
            <v>50.657433654324002</v>
          </cell>
          <cell r="Y79">
            <v>13048.006684378468</v>
          </cell>
          <cell r="Z79">
            <v>5.6504615444934372E-3</v>
          </cell>
          <cell r="AA79">
            <v>1.4126153861233594E-4</v>
          </cell>
          <cell r="AB79">
            <v>2.5471698113207547E-3</v>
          </cell>
          <cell r="AC79">
            <v>4.5982316740758892E-3</v>
          </cell>
        </row>
        <row r="80">
          <cell r="A80">
            <v>76</v>
          </cell>
          <cell r="B80" t="str">
            <v xml:space="preserve">TECOH </v>
          </cell>
          <cell r="C80">
            <v>17939</v>
          </cell>
          <cell r="D80">
            <v>7.7293358001945802E-3</v>
          </cell>
          <cell r="E80">
            <v>4.9467749121245314E-3</v>
          </cell>
          <cell r="F80">
            <v>57254.5</v>
          </cell>
          <cell r="G80">
            <v>226075</v>
          </cell>
          <cell r="H80">
            <v>283329.5</v>
          </cell>
          <cell r="I80">
            <v>2.626856596589714E-4</v>
          </cell>
          <cell r="J80">
            <v>8.6686267687460566E-5</v>
          </cell>
          <cell r="K80">
            <v>15687.41</v>
          </cell>
          <cell r="L80">
            <v>145773.85</v>
          </cell>
          <cell r="M80">
            <v>161461.26</v>
          </cell>
          <cell r="N80">
            <v>1.5418906588377185E-4</v>
          </cell>
          <cell r="O80">
            <v>5.0882391741644716E-5</v>
          </cell>
          <cell r="P80">
            <v>42219.5</v>
          </cell>
          <cell r="Q80">
            <v>123084</v>
          </cell>
          <cell r="R80">
            <v>165303.5</v>
          </cell>
          <cell r="S80">
            <v>1.3205448497681692E-4</v>
          </cell>
          <cell r="T80">
            <v>4.4898524892117756E-5</v>
          </cell>
          <cell r="U80">
            <v>1.8246718432122304E-4</v>
          </cell>
          <cell r="V80">
            <v>8.2110232944550369E-6</v>
          </cell>
          <cell r="W80">
            <v>2.6410896995363383E-6</v>
          </cell>
          <cell r="X80">
            <v>52.989493663485597</v>
          </cell>
          <cell r="Y80">
            <v>27728.845493658544</v>
          </cell>
          <cell r="Z80">
            <v>1.20080238250262E-2</v>
          </cell>
          <cell r="AA80">
            <v>3.00200595625655E-4</v>
          </cell>
          <cell r="AB80">
            <v>2.5471698113207547E-3</v>
          </cell>
          <cell r="AC80">
            <v>7.8049974320649326E-3</v>
          </cell>
        </row>
        <row r="81">
          <cell r="A81">
            <v>77</v>
          </cell>
          <cell r="B81" t="str">
            <v xml:space="preserve">TEKAL DE VENEGAS </v>
          </cell>
          <cell r="C81">
            <v>2683</v>
          </cell>
          <cell r="D81">
            <v>1.1560180585273459E-3</v>
          </cell>
          <cell r="E81">
            <v>7.3985155745750141E-4</v>
          </cell>
          <cell r="F81">
            <v>7776</v>
          </cell>
          <cell r="G81">
            <v>0</v>
          </cell>
          <cell r="H81">
            <v>7776</v>
          </cell>
          <cell r="I81">
            <v>7.2094282081751518E-6</v>
          </cell>
          <cell r="J81">
            <v>2.3791113086978003E-6</v>
          </cell>
          <cell r="K81">
            <v>5760</v>
          </cell>
          <cell r="L81">
            <v>0</v>
          </cell>
          <cell r="M81">
            <v>5760</v>
          </cell>
          <cell r="N81">
            <v>5.5005703503770869E-6</v>
          </cell>
          <cell r="O81">
            <v>1.8151882156244388E-6</v>
          </cell>
          <cell r="P81">
            <v>19112.5</v>
          </cell>
          <cell r="Q81">
            <v>0</v>
          </cell>
          <cell r="R81">
            <v>19112.5</v>
          </cell>
          <cell r="S81">
            <v>1.5268226892469992E-5</v>
          </cell>
          <cell r="T81">
            <v>5.191197143439798E-6</v>
          </cell>
          <cell r="U81">
            <v>9.3854966677620383E-6</v>
          </cell>
          <cell r="V81">
            <v>4.223473500492917E-7</v>
          </cell>
          <cell r="W81">
            <v>3.0536453784939984E-7</v>
          </cell>
          <cell r="X81">
            <v>50.667758036341702</v>
          </cell>
          <cell r="Y81">
            <v>5054.1667954449003</v>
          </cell>
          <cell r="Z81">
            <v>2.1887155492729881E-3</v>
          </cell>
          <cell r="AA81">
            <v>5.4717888731824703E-5</v>
          </cell>
          <cell r="AB81">
            <v>2.5471698113207547E-3</v>
          </cell>
          <cell r="AC81">
            <v>3.3424669693979795E-3</v>
          </cell>
        </row>
        <row r="82">
          <cell r="A82">
            <v>78</v>
          </cell>
          <cell r="B82" t="str">
            <v xml:space="preserve">TEKANTO </v>
          </cell>
          <cell r="C82">
            <v>3747</v>
          </cell>
          <cell r="D82">
            <v>1.6144612990316679E-3</v>
          </cell>
          <cell r="E82">
            <v>1.0332552313802674E-3</v>
          </cell>
          <cell r="F82">
            <v>92445.52</v>
          </cell>
          <cell r="G82">
            <v>3050</v>
          </cell>
          <cell r="H82">
            <v>95495.52</v>
          </cell>
          <cell r="I82">
            <v>8.8537563740014708E-5</v>
          </cell>
          <cell r="J82">
            <v>2.9217396034204856E-5</v>
          </cell>
          <cell r="K82">
            <v>92903.98</v>
          </cell>
          <cell r="L82">
            <v>9430</v>
          </cell>
          <cell r="M82">
            <v>102333.98</v>
          </cell>
          <cell r="N82">
            <v>9.7724870872236414E-5</v>
          </cell>
          <cell r="O82">
            <v>3.2249207387838018E-5</v>
          </cell>
          <cell r="P82">
            <v>84483.68</v>
          </cell>
          <cell r="Q82">
            <v>8740</v>
          </cell>
          <cell r="R82">
            <v>93223.679999999993</v>
          </cell>
          <cell r="S82">
            <v>7.4472742864147381E-5</v>
          </cell>
          <cell r="T82">
            <v>2.5320732573810111E-5</v>
          </cell>
          <cell r="U82">
            <v>8.6787335995852974E-5</v>
          </cell>
          <cell r="V82">
            <v>3.9054301198133833E-6</v>
          </cell>
          <cell r="W82">
            <v>1.4894548572829477E-6</v>
          </cell>
          <cell r="X82">
            <v>52.699620408264003</v>
          </cell>
          <cell r="Y82">
            <v>5949.9934512821792</v>
          </cell>
          <cell r="Z82">
            <v>2.5766548101718123E-3</v>
          </cell>
          <cell r="AA82">
            <v>6.441637025429531E-5</v>
          </cell>
          <cell r="AB82">
            <v>2.5471698113207547E-3</v>
          </cell>
          <cell r="AC82">
            <v>3.6502362979324143E-3</v>
          </cell>
        </row>
        <row r="83">
          <cell r="A83">
            <v>79</v>
          </cell>
          <cell r="B83" t="str">
            <v xml:space="preserve">TEKAX </v>
          </cell>
          <cell r="C83">
            <v>45062</v>
          </cell>
          <cell r="D83">
            <v>1.9415760623689625E-2</v>
          </cell>
          <cell r="E83">
            <v>1.242608679916136E-2</v>
          </cell>
          <cell r="F83">
            <v>689586</v>
          </cell>
          <cell r="G83">
            <v>946060.5</v>
          </cell>
          <cell r="H83">
            <v>1635646.5</v>
          </cell>
          <cell r="I83">
            <v>1.516470681031759E-3</v>
          </cell>
          <cell r="J83">
            <v>5.0043532474048052E-4</v>
          </cell>
          <cell r="K83">
            <v>20484</v>
          </cell>
          <cell r="L83">
            <v>1003454</v>
          </cell>
          <cell r="M83">
            <v>1023938</v>
          </cell>
          <cell r="N83">
            <v>9.7781996587229403E-4</v>
          </cell>
          <cell r="O83">
            <v>3.2268058873785707E-4</v>
          </cell>
          <cell r="P83">
            <v>9075</v>
          </cell>
          <cell r="Q83">
            <v>1272225.5</v>
          </cell>
          <cell r="R83">
            <v>1281300.5</v>
          </cell>
          <cell r="S83">
            <v>1.0235807325799998E-3</v>
          </cell>
          <cell r="T83">
            <v>3.4801744907719996E-4</v>
          </cell>
          <cell r="U83">
            <v>1.1711333625555377E-3</v>
          </cell>
          <cell r="V83">
            <v>5.2701001314999192E-5</v>
          </cell>
          <cell r="W83">
            <v>2.0471614651599997E-5</v>
          </cell>
          <cell r="X83">
            <v>53.797324570673297</v>
          </cell>
          <cell r="Y83">
            <v>64353.472204584126</v>
          </cell>
          <cell r="Z83">
            <v>2.7868380875523058E-2</v>
          </cell>
          <cell r="AA83">
            <v>6.9670952188807648E-4</v>
          </cell>
          <cell r="AB83">
            <v>2.5471698113207547E-3</v>
          </cell>
          <cell r="AC83">
            <v>1.5743138748336789E-2</v>
          </cell>
        </row>
        <row r="84">
          <cell r="A84">
            <v>80</v>
          </cell>
          <cell r="B84" t="str">
            <v xml:space="preserve">TEKIT </v>
          </cell>
          <cell r="C84">
            <v>11020</v>
          </cell>
          <cell r="D84">
            <v>4.7481621337947637E-3</v>
          </cell>
          <cell r="E84">
            <v>3.038823765628649E-3</v>
          </cell>
          <cell r="F84">
            <v>171462.58</v>
          </cell>
          <cell r="G84">
            <v>3580</v>
          </cell>
          <cell r="H84">
            <v>175042.58</v>
          </cell>
          <cell r="I84">
            <v>1.622886977731167E-4</v>
          </cell>
          <cell r="J84">
            <v>5.3555270265128512E-5</v>
          </cell>
          <cell r="K84">
            <v>124062</v>
          </cell>
          <cell r="L84">
            <v>25690</v>
          </cell>
          <cell r="M84">
            <v>149752</v>
          </cell>
          <cell r="N84">
            <v>1.4300718942876207E-4</v>
          </cell>
          <cell r="O84">
            <v>4.7192372511491486E-5</v>
          </cell>
          <cell r="P84">
            <v>15297.01</v>
          </cell>
          <cell r="Q84">
            <v>4172</v>
          </cell>
          <cell r="R84">
            <v>19469.010000000002</v>
          </cell>
          <cell r="S84">
            <v>1.5553028753526082E-5</v>
          </cell>
          <cell r="T84">
            <v>5.2880297761988677E-6</v>
          </cell>
          <cell r="U84">
            <v>1.0603567255281887E-4</v>
          </cell>
          <cell r="V84">
            <v>4.7716052648768492E-6</v>
          </cell>
          <cell r="W84">
            <v>3.1106057507052164E-7</v>
          </cell>
          <cell r="X84">
            <v>54.147816437142303</v>
          </cell>
          <cell r="Y84">
            <v>15175.398752807914</v>
          </cell>
          <cell r="Z84">
            <v>6.5717323074148421E-3</v>
          </cell>
          <cell r="AA84">
            <v>1.6429330768537106E-4</v>
          </cell>
          <cell r="AB84">
            <v>2.5471698113207547E-3</v>
          </cell>
          <cell r="AC84">
            <v>5.755369550474722E-3</v>
          </cell>
        </row>
        <row r="85">
          <cell r="A85">
            <v>81</v>
          </cell>
          <cell r="B85" t="str">
            <v xml:space="preserve">TEKOM </v>
          </cell>
          <cell r="C85">
            <v>3355</v>
          </cell>
          <cell r="D85">
            <v>1.4455611577932335E-3</v>
          </cell>
          <cell r="E85">
            <v>9.2515914098766951E-4</v>
          </cell>
          <cell r="F85">
            <v>6964</v>
          </cell>
          <cell r="G85">
            <v>300</v>
          </cell>
          <cell r="H85">
            <v>7264</v>
          </cell>
          <cell r="I85">
            <v>6.7347333467315202E-6</v>
          </cell>
          <cell r="J85">
            <v>2.222462004421402E-6</v>
          </cell>
          <cell r="K85">
            <v>4478</v>
          </cell>
          <cell r="L85">
            <v>2100</v>
          </cell>
          <cell r="M85">
            <v>6578</v>
          </cell>
          <cell r="N85">
            <v>6.2817277369410546E-6</v>
          </cell>
          <cell r="O85">
            <v>2.072970153190548E-6</v>
          </cell>
          <cell r="P85">
            <v>11745.2</v>
          </cell>
          <cell r="Q85">
            <v>1200</v>
          </cell>
          <cell r="R85">
            <v>12945.2</v>
          </cell>
          <cell r="S85">
            <v>1.034141272823558E-5</v>
          </cell>
          <cell r="T85">
            <v>3.5160803276000974E-6</v>
          </cell>
          <cell r="U85">
            <v>7.811512485212047E-6</v>
          </cell>
          <cell r="V85">
            <v>3.5151806183454209E-7</v>
          </cell>
          <cell r="W85">
            <v>2.0682825456471162E-7</v>
          </cell>
          <cell r="X85">
            <v>50.930152286702899</v>
          </cell>
          <cell r="Y85">
            <v>6191.8867697730702</v>
          </cell>
          <cell r="Z85">
            <v>2.681407124227497E-3</v>
          </cell>
          <cell r="AA85">
            <v>6.7035178105687423E-5</v>
          </cell>
          <cell r="AB85">
            <v>2.5471698113207547E-3</v>
          </cell>
          <cell r="AC85">
            <v>3.539922476730511E-3</v>
          </cell>
        </row>
        <row r="86">
          <cell r="A86">
            <v>82</v>
          </cell>
          <cell r="B86" t="str">
            <v xml:space="preserve">TELCHAC PUEBLO </v>
          </cell>
          <cell r="C86">
            <v>3512</v>
          </cell>
          <cell r="D86">
            <v>1.5132073878300555E-3</v>
          </cell>
          <cell r="E86">
            <v>9.6845272821123552E-4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28885</v>
          </cell>
          <cell r="L86">
            <v>0</v>
          </cell>
          <cell r="M86">
            <v>28885</v>
          </cell>
          <cell r="N86">
            <v>2.7584023362958705E-5</v>
          </cell>
          <cell r="O86">
            <v>9.1027277097763732E-6</v>
          </cell>
          <cell r="P86">
            <v>20675</v>
          </cell>
          <cell r="Q86">
            <v>0</v>
          </cell>
          <cell r="R86">
            <v>20675</v>
          </cell>
          <cell r="S86">
            <v>1.6516446880409002E-5</v>
          </cell>
          <cell r="T86">
            <v>5.6155919393390611E-6</v>
          </cell>
          <cell r="U86">
            <v>1.4718319649115435E-5</v>
          </cell>
          <cell r="V86">
            <v>6.6232438421019455E-7</v>
          </cell>
          <cell r="W86">
            <v>3.3032893760818006E-7</v>
          </cell>
          <cell r="X86">
            <v>55.370599847421801</v>
          </cell>
          <cell r="Y86">
            <v>4211.0308057004313</v>
          </cell>
          <cell r="Z86">
            <v>1.8235940711752421E-3</v>
          </cell>
          <cell r="AA86">
            <v>4.5589851779381057E-5</v>
          </cell>
          <cell r="AB86">
            <v>2.5471698113207547E-3</v>
          </cell>
          <cell r="AC86">
            <v>3.5622050446331897E-3</v>
          </cell>
        </row>
        <row r="87">
          <cell r="A87">
            <v>83</v>
          </cell>
          <cell r="B87" t="str">
            <v xml:space="preserve">TELCHAC PUERTO   </v>
          </cell>
          <cell r="C87">
            <v>1915</v>
          </cell>
          <cell r="D87">
            <v>8.2511165936633151E-4</v>
          </cell>
          <cell r="E87">
            <v>5.2807146199445221E-4</v>
          </cell>
          <cell r="F87">
            <v>1258839.51</v>
          </cell>
          <cell r="G87">
            <v>1243585</v>
          </cell>
          <cell r="H87">
            <v>2502424.5099999998</v>
          </cell>
          <cell r="I87">
            <v>2.320093859467963E-3</v>
          </cell>
          <cell r="J87">
            <v>7.6563097362442782E-4</v>
          </cell>
          <cell r="K87">
            <v>1400863</v>
          </cell>
          <cell r="L87">
            <v>901804</v>
          </cell>
          <cell r="M87">
            <v>2302667</v>
          </cell>
          <cell r="N87">
            <v>2.1989551782971798E-3</v>
          </cell>
          <cell r="O87">
            <v>7.2565520883806941E-4</v>
          </cell>
          <cell r="P87">
            <v>2111674.7999999998</v>
          </cell>
          <cell r="Q87">
            <v>1081412</v>
          </cell>
          <cell r="R87">
            <v>3193086.8</v>
          </cell>
          <cell r="S87">
            <v>2.5508318508698992E-3</v>
          </cell>
          <cell r="T87">
            <v>8.6728282929576577E-4</v>
          </cell>
          <cell r="U87">
            <v>2.3585690117582632E-3</v>
          </cell>
          <cell r="V87">
            <v>1.0613560552912184E-4</v>
          </cell>
          <cell r="W87">
            <v>5.1016637017397986E-5</v>
          </cell>
          <cell r="X87">
            <v>55.268992057506999</v>
          </cell>
          <cell r="Y87">
            <v>2324.4935585576668</v>
          </cell>
          <cell r="Z87">
            <v>1.0066258993243649E-3</v>
          </cell>
          <cell r="AA87">
            <v>2.5165647483109125E-5</v>
          </cell>
          <cell r="AB87">
            <v>2.5471698113207547E-3</v>
          </cell>
          <cell r="AC87">
            <v>3.2575591633448361E-3</v>
          </cell>
        </row>
        <row r="88">
          <cell r="A88">
            <v>84</v>
          </cell>
          <cell r="B88" t="str">
            <v xml:space="preserve">TEMAX </v>
          </cell>
          <cell r="C88">
            <v>7037</v>
          </cell>
          <cell r="D88">
            <v>3.0320160558542425E-3</v>
          </cell>
          <cell r="E88">
            <v>1.9404902757467152E-3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31187.759999999998</v>
          </cell>
          <cell r="Q88">
            <v>0</v>
          </cell>
          <cell r="R88">
            <v>31187.759999999998</v>
          </cell>
          <cell r="S88">
            <v>2.4914678663068667E-5</v>
          </cell>
          <cell r="T88">
            <v>8.4709907454433477E-6</v>
          </cell>
          <cell r="U88">
            <v>8.4709907454433477E-6</v>
          </cell>
          <cell r="V88">
            <v>3.8119458354495065E-7</v>
          </cell>
          <cell r="W88">
            <v>4.9829357326137334E-7</v>
          </cell>
          <cell r="X88">
            <v>53.2971545292461</v>
          </cell>
          <cell r="Y88">
            <v>10562.074672912411</v>
          </cell>
          <cell r="Z88">
            <v>4.5739244478477615E-3</v>
          </cell>
          <cell r="AA88">
            <v>1.1434811119619404E-4</v>
          </cell>
          <cell r="AB88">
            <v>2.5471698113207547E-3</v>
          </cell>
          <cell r="AC88">
            <v>4.6028876864204708E-3</v>
          </cell>
        </row>
        <row r="89">
          <cell r="A89">
            <v>85</v>
          </cell>
          <cell r="B89" t="str">
            <v xml:space="preserve">TEMOZON </v>
          </cell>
          <cell r="C89">
            <v>16680</v>
          </cell>
          <cell r="D89">
            <v>7.1868733567782813E-3</v>
          </cell>
          <cell r="E89">
            <v>4.5995989483380998E-3</v>
          </cell>
          <cell r="F89">
            <v>77818.44</v>
          </cell>
          <cell r="G89">
            <v>13580</v>
          </cell>
          <cell r="H89">
            <v>91398.44</v>
          </cell>
          <cell r="I89">
            <v>8.473900353899229E-5</v>
          </cell>
          <cell r="J89">
            <v>2.7963871167867458E-5</v>
          </cell>
          <cell r="K89">
            <v>30516.38</v>
          </cell>
          <cell r="L89">
            <v>46425</v>
          </cell>
          <cell r="M89">
            <v>76941.38</v>
          </cell>
          <cell r="N89">
            <v>7.3475950268245938E-5</v>
          </cell>
          <cell r="O89">
            <v>2.4247063588521161E-5</v>
          </cell>
          <cell r="P89">
            <v>91988.479999999996</v>
          </cell>
          <cell r="Q89">
            <v>90214</v>
          </cell>
          <cell r="R89">
            <v>182202.47999999998</v>
          </cell>
          <cell r="S89">
            <v>1.4555441752835713E-4</v>
          </cell>
          <cell r="T89">
            <v>4.9488501959641426E-5</v>
          </cell>
          <cell r="U89">
            <v>1.0169943671603004E-4</v>
          </cell>
          <cell r="V89">
            <v>4.5764746522213518E-6</v>
          </cell>
          <cell r="W89">
            <v>2.9110883505671426E-6</v>
          </cell>
          <cell r="X89">
            <v>51.747656674820597</v>
          </cell>
          <cell r="Y89">
            <v>28798.707018277284</v>
          </cell>
          <cell r="Z89">
            <v>1.2471329182619926E-2</v>
          </cell>
          <cell r="AA89">
            <v>3.1178322956549817E-4</v>
          </cell>
          <cell r="AB89">
            <v>2.5471698113207547E-3</v>
          </cell>
          <cell r="AC89">
            <v>7.4660395522271406E-3</v>
          </cell>
        </row>
        <row r="90">
          <cell r="A90">
            <v>86</v>
          </cell>
          <cell r="B90" t="str">
            <v xml:space="preserve">TEPAKAN </v>
          </cell>
          <cell r="C90">
            <v>2133</v>
          </cell>
          <cell r="D90">
            <v>9.1904081954484863E-4</v>
          </cell>
          <cell r="E90">
            <v>5.8818612450870313E-4</v>
          </cell>
          <cell r="F90">
            <v>20790</v>
          </cell>
          <cell r="G90">
            <v>0</v>
          </cell>
          <cell r="H90">
            <v>20790</v>
          </cell>
          <cell r="I90">
            <v>1.9275207362134954E-5</v>
          </cell>
          <cell r="J90">
            <v>6.3608184295045352E-6</v>
          </cell>
          <cell r="K90">
            <v>11842</v>
          </cell>
          <cell r="L90">
            <v>0</v>
          </cell>
          <cell r="M90">
            <v>11842</v>
          </cell>
          <cell r="N90">
            <v>1.1308637862702337E-5</v>
          </cell>
          <cell r="O90">
            <v>3.7318504946917714E-6</v>
          </cell>
          <cell r="P90">
            <v>6513</v>
          </cell>
          <cell r="Q90">
            <v>0</v>
          </cell>
          <cell r="R90">
            <v>6513</v>
          </cell>
          <cell r="S90">
            <v>5.2029803401259413E-6</v>
          </cell>
          <cell r="T90">
            <v>1.7690133156428201E-6</v>
          </cell>
          <cell r="U90">
            <v>1.1861682239839127E-5</v>
          </cell>
          <cell r="V90">
            <v>5.3377570079276071E-7</v>
          </cell>
          <cell r="W90">
            <v>1.0405960680251883E-7</v>
          </cell>
          <cell r="X90">
            <v>50.617111523905002</v>
          </cell>
          <cell r="Y90">
            <v>4033.819883000745</v>
          </cell>
          <cell r="Z90">
            <v>1.7468525789151564E-3</v>
          </cell>
          <cell r="AA90">
            <v>4.3671314472878912E-5</v>
          </cell>
          <cell r="AB90">
            <v>2.5471698113207547E-3</v>
          </cell>
          <cell r="AC90">
            <v>3.1796650856099323E-3</v>
          </cell>
        </row>
        <row r="91">
          <cell r="A91">
            <v>87</v>
          </cell>
          <cell r="B91" t="str">
            <v xml:space="preserve">TETIZ </v>
          </cell>
          <cell r="C91">
            <v>5464</v>
          </cell>
          <cell r="D91">
            <v>2.3542611523643003E-3</v>
          </cell>
          <cell r="E91">
            <v>1.5067271375131521E-3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26669</v>
          </cell>
          <cell r="Q91">
            <v>405</v>
          </cell>
          <cell r="R91">
            <v>27074</v>
          </cell>
          <cell r="S91">
            <v>2.1628357090214915E-5</v>
          </cell>
          <cell r="T91">
            <v>7.3536414106730713E-6</v>
          </cell>
          <cell r="U91">
            <v>7.3536414106730713E-6</v>
          </cell>
          <cell r="V91">
            <v>3.309138634802882E-7</v>
          </cell>
          <cell r="W91">
            <v>4.325671418042983E-7</v>
          </cell>
          <cell r="X91">
            <v>51.139743750078402</v>
          </cell>
          <cell r="Y91">
            <v>9917.4512857776226</v>
          </cell>
          <cell r="Z91">
            <v>4.2947691908193399E-3</v>
          </cell>
          <cell r="AA91">
            <v>1.073692297704835E-4</v>
          </cell>
          <cell r="AB91">
            <v>2.5471698113207547E-3</v>
          </cell>
          <cell r="AC91">
            <v>4.1620296596096753E-3</v>
          </cell>
        </row>
        <row r="92">
          <cell r="A92">
            <v>88</v>
          </cell>
          <cell r="B92" t="str">
            <v xml:space="preserve">TEYA </v>
          </cell>
          <cell r="C92">
            <v>1917</v>
          </cell>
          <cell r="D92">
            <v>8.2597339478081332E-4</v>
          </cell>
          <cell r="E92">
            <v>5.2862297265972053E-4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8760</v>
          </cell>
          <cell r="L92">
            <v>0</v>
          </cell>
          <cell r="M92">
            <v>8760</v>
          </cell>
          <cell r="N92">
            <v>8.3654507411984858E-6</v>
          </cell>
          <cell r="O92">
            <v>2.7605987445955006E-6</v>
          </cell>
          <cell r="P92">
            <v>22760</v>
          </cell>
          <cell r="Q92">
            <v>0</v>
          </cell>
          <cell r="R92">
            <v>22760</v>
          </cell>
          <cell r="S92">
            <v>1.8182071632314819E-5</v>
          </cell>
          <cell r="T92">
            <v>6.1819043549870386E-6</v>
          </cell>
          <cell r="U92">
            <v>8.9425030995825391E-6</v>
          </cell>
          <cell r="V92">
            <v>4.0241263948121425E-7</v>
          </cell>
          <cell r="W92">
            <v>3.6364143264629641E-7</v>
          </cell>
          <cell r="X92">
            <v>52.540547336063703</v>
          </cell>
          <cell r="Y92">
            <v>3088.4716221851104</v>
          </cell>
          <cell r="Z92">
            <v>1.3374679025348391E-3</v>
          </cell>
          <cell r="AA92">
            <v>3.3436697563370981E-5</v>
          </cell>
          <cell r="AB92">
            <v>2.5471698113207547E-3</v>
          </cell>
          <cell r="AC92">
            <v>3.1099955356159738E-3</v>
          </cell>
        </row>
        <row r="93">
          <cell r="A93">
            <v>89</v>
          </cell>
          <cell r="B93" t="str">
            <v xml:space="preserve">TICUL </v>
          </cell>
          <cell r="C93">
            <v>40495</v>
          </cell>
          <cell r="D93">
            <v>1.7447987804720413E-2</v>
          </cell>
          <cell r="E93">
            <v>1.1166712195021064E-2</v>
          </cell>
          <cell r="F93">
            <v>812930.5</v>
          </cell>
          <cell r="G93">
            <v>1774445.28</v>
          </cell>
          <cell r="H93">
            <v>2587375.7800000003</v>
          </cell>
          <cell r="I93">
            <v>2.398855444120523E-3</v>
          </cell>
          <cell r="J93">
            <v>7.9162229655977258E-4</v>
          </cell>
          <cell r="K93">
            <v>1030117.99</v>
          </cell>
          <cell r="L93">
            <v>1543070.79</v>
          </cell>
          <cell r="M93">
            <v>2573188.7800000003</v>
          </cell>
          <cell r="N93">
            <v>2.45729269256788E-3</v>
          </cell>
          <cell r="O93">
            <v>8.109065885474004E-4</v>
          </cell>
          <cell r="P93">
            <v>1102499.6100000001</v>
          </cell>
          <cell r="Q93">
            <v>1757771.21</v>
          </cell>
          <cell r="R93">
            <v>2860270.8200000003</v>
          </cell>
          <cell r="S93">
            <v>2.2849582134033329E-3</v>
          </cell>
          <cell r="T93">
            <v>7.7688579255713326E-4</v>
          </cell>
          <cell r="U93">
            <v>2.3794146776643064E-3</v>
          </cell>
          <cell r="V93">
            <v>1.0707366049489379E-4</v>
          </cell>
          <cell r="W93">
            <v>4.5699164268066662E-5</v>
          </cell>
          <cell r="X93">
            <v>56.026230148359701</v>
          </cell>
          <cell r="Y93">
            <v>44689.508156700453</v>
          </cell>
          <cell r="Z93">
            <v>1.9352867713049469E-2</v>
          </cell>
          <cell r="AA93">
            <v>4.8382169282623676E-4</v>
          </cell>
          <cell r="AB93">
            <v>2.5471698113207547E-3</v>
          </cell>
          <cell r="AC93">
            <v>1.4350476523931014E-2</v>
          </cell>
        </row>
        <row r="94">
          <cell r="A94">
            <v>90</v>
          </cell>
          <cell r="B94" t="str">
            <v xml:space="preserve">TIMUCUY </v>
          </cell>
          <cell r="C94">
            <v>7503</v>
          </cell>
          <cell r="D94">
            <v>3.2328004074285038E-3</v>
          </cell>
          <cell r="E94">
            <v>2.0689922607542424E-3</v>
          </cell>
          <cell r="F94">
            <v>8331.5</v>
          </cell>
          <cell r="G94">
            <v>1705</v>
          </cell>
          <cell r="H94">
            <v>10036.5</v>
          </cell>
          <cell r="I94">
            <v>9.3052245642168091E-6</v>
          </cell>
          <cell r="J94">
            <v>3.0707241061915473E-6</v>
          </cell>
          <cell r="K94">
            <v>49357.5</v>
          </cell>
          <cell r="L94">
            <v>6823</v>
          </cell>
          <cell r="M94">
            <v>56180.5</v>
          </cell>
          <cell r="N94">
            <v>5.3650137598847209E-5</v>
          </cell>
          <cell r="O94">
            <v>1.7704545407619579E-5</v>
          </cell>
          <cell r="P94">
            <v>9038</v>
          </cell>
          <cell r="Q94">
            <v>8278</v>
          </cell>
          <cell r="R94">
            <v>17316</v>
          </cell>
          <cell r="S94">
            <v>1.3833073479137234E-5</v>
          </cell>
          <cell r="T94">
            <v>4.7032449829066599E-6</v>
          </cell>
          <cell r="U94">
            <v>2.5478514496717788E-5</v>
          </cell>
          <cell r="V94">
            <v>1.1465331523523004E-6</v>
          </cell>
          <cell r="W94">
            <v>2.7666146958274466E-7</v>
          </cell>
          <cell r="X94">
            <v>51.884072562114902</v>
          </cell>
          <cell r="Y94">
            <v>12805.212799275389</v>
          </cell>
          <cell r="Z94">
            <v>5.5453192385306735E-3</v>
          </cell>
          <cell r="AA94">
            <v>1.3863298096326683E-4</v>
          </cell>
          <cell r="AB94">
            <v>2.5471698113207547E-3</v>
          </cell>
          <cell r="AC94">
            <v>4.7562182476601992E-3</v>
          </cell>
        </row>
        <row r="95">
          <cell r="A95">
            <v>91</v>
          </cell>
          <cell r="B95" t="str">
            <v xml:space="preserve">TINUM </v>
          </cell>
          <cell r="C95">
            <v>12700</v>
          </cell>
          <cell r="D95">
            <v>5.4720198819594827E-3</v>
          </cell>
          <cell r="E95">
            <v>3.5020927244540688E-3</v>
          </cell>
          <cell r="F95">
            <v>262594.46999999997</v>
          </cell>
          <cell r="G95">
            <v>360.3</v>
          </cell>
          <cell r="H95">
            <v>262954.76999999996</v>
          </cell>
          <cell r="I95">
            <v>2.4379546506072644E-4</v>
          </cell>
          <cell r="J95">
            <v>8.0452503470039729E-5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69370.23</v>
          </cell>
          <cell r="Q95">
            <v>33865.5</v>
          </cell>
          <cell r="R95">
            <v>103235.73</v>
          </cell>
          <cell r="S95">
            <v>8.2470977059504038E-5</v>
          </cell>
          <cell r="T95">
            <v>2.8040132200231376E-5</v>
          </cell>
          <cell r="U95">
            <v>1.084926356702711E-4</v>
          </cell>
          <cell r="V95">
            <v>4.8821686051621992E-6</v>
          </cell>
          <cell r="W95">
            <v>1.6494195411900808E-6</v>
          </cell>
          <cell r="X95">
            <v>53.452750880160899</v>
          </cell>
          <cell r="Y95">
            <v>18774.149292476868</v>
          </cell>
          <cell r="Z95">
            <v>8.1301773653078401E-3</v>
          </cell>
          <cell r="AA95">
            <v>2.0325443413269601E-4</v>
          </cell>
          <cell r="AB95">
            <v>2.5471698113207547E-3</v>
          </cell>
          <cell r="AC95">
            <v>6.2590485580538719E-3</v>
          </cell>
        </row>
        <row r="96">
          <cell r="A96">
            <v>92</v>
          </cell>
          <cell r="B96" t="str">
            <v xml:space="preserve">TIXCACALCUPUL </v>
          </cell>
          <cell r="C96">
            <v>7888</v>
          </cell>
          <cell r="D96">
            <v>3.3986844747162519E-3</v>
          </cell>
          <cell r="E96">
            <v>2.1751580638184015E-3</v>
          </cell>
          <cell r="F96">
            <v>11104.63</v>
          </cell>
          <cell r="G96">
            <v>0</v>
          </cell>
          <cell r="H96">
            <v>11104.63</v>
          </cell>
          <cell r="I96">
            <v>1.0295528904751546E-5</v>
          </cell>
          <cell r="J96">
            <v>3.3975245385680101E-6</v>
          </cell>
          <cell r="K96">
            <v>13828.33</v>
          </cell>
          <cell r="L96">
            <v>0</v>
          </cell>
          <cell r="M96">
            <v>13828.33</v>
          </cell>
          <cell r="N96">
            <v>1.3205503818269093E-5</v>
          </cell>
          <cell r="O96">
            <v>4.3578162600288009E-6</v>
          </cell>
          <cell r="P96">
            <v>9226.32</v>
          </cell>
          <cell r="Q96">
            <v>0</v>
          </cell>
          <cell r="R96">
            <v>9226.32</v>
          </cell>
          <cell r="S96">
            <v>7.3705453050377356E-6</v>
          </cell>
          <cell r="T96">
            <v>2.5059854037128302E-6</v>
          </cell>
          <cell r="U96">
            <v>1.0261326202309641E-5</v>
          </cell>
          <cell r="V96">
            <v>4.6175967910393383E-7</v>
          </cell>
          <cell r="W96">
            <v>1.4741090610075473E-7</v>
          </cell>
          <cell r="X96">
            <v>48.945772326207702</v>
          </cell>
          <cell r="Y96">
            <v>16836.900892911191</v>
          </cell>
          <cell r="Z96">
            <v>7.2912486424261558E-3</v>
          </cell>
          <cell r="AA96">
            <v>1.8228121606065392E-4</v>
          </cell>
          <cell r="AB96">
            <v>2.5471698113207547E-3</v>
          </cell>
          <cell r="AC96">
            <v>4.9052182617850149E-3</v>
          </cell>
        </row>
        <row r="97">
          <cell r="A97">
            <v>93</v>
          </cell>
          <cell r="B97" t="str">
            <v xml:space="preserve">TIXKOKOB </v>
          </cell>
          <cell r="C97">
            <v>18420</v>
          </cell>
          <cell r="D97">
            <v>7.9365831673774544E-3</v>
          </cell>
          <cell r="E97">
            <v>5.0794132271215712E-3</v>
          </cell>
          <cell r="F97">
            <v>181495.25</v>
          </cell>
          <cell r="G97">
            <v>720</v>
          </cell>
          <cell r="H97">
            <v>182215.25</v>
          </cell>
          <cell r="I97">
            <v>1.6893875556966143E-4</v>
          </cell>
          <cell r="J97">
            <v>5.5749789337988273E-5</v>
          </cell>
          <cell r="K97">
            <v>17358</v>
          </cell>
          <cell r="L97">
            <v>0</v>
          </cell>
          <cell r="M97">
            <v>17358</v>
          </cell>
          <cell r="N97">
            <v>1.6576197941292618E-5</v>
          </cell>
          <cell r="O97">
            <v>5.4701453206265643E-6</v>
          </cell>
          <cell r="P97">
            <v>113084</v>
          </cell>
          <cell r="Q97">
            <v>58113</v>
          </cell>
          <cell r="R97">
            <v>171197</v>
          </cell>
          <cell r="S97">
            <v>1.3676257105612479E-4</v>
          </cell>
          <cell r="T97">
            <v>4.6499274159082436E-5</v>
          </cell>
          <cell r="U97">
            <v>1.0771920881769728E-4</v>
          </cell>
          <cell r="V97">
            <v>4.8473643967963774E-6</v>
          </cell>
          <cell r="W97">
            <v>2.735251421122496E-6</v>
          </cell>
          <cell r="X97">
            <v>56.823219802976503</v>
          </cell>
          <cell r="Y97">
            <v>18190.472002967552</v>
          </cell>
          <cell r="Z97">
            <v>7.8774149197831083E-3</v>
          </cell>
          <cell r="AA97">
            <v>1.9693537299457771E-4</v>
          </cell>
          <cell r="AB97">
            <v>2.5471698113207547E-3</v>
          </cell>
          <cell r="AC97">
            <v>7.8311010272548234E-3</v>
          </cell>
        </row>
        <row r="98">
          <cell r="A98">
            <v>94</v>
          </cell>
          <cell r="B98" t="str">
            <v xml:space="preserve">TIXMEUAC </v>
          </cell>
          <cell r="C98">
            <v>5444</v>
          </cell>
          <cell r="D98">
            <v>2.3456437982194824E-3</v>
          </cell>
          <cell r="E98">
            <v>1.5012120308604687E-3</v>
          </cell>
          <cell r="F98">
            <v>17705</v>
          </cell>
          <cell r="G98">
            <v>14940</v>
          </cell>
          <cell r="H98">
            <v>32645</v>
          </cell>
          <cell r="I98">
            <v>3.0266433109037785E-5</v>
          </cell>
          <cell r="J98">
            <v>9.987922925982469E-6</v>
          </cell>
          <cell r="K98">
            <v>16012</v>
          </cell>
          <cell r="L98">
            <v>8056</v>
          </cell>
          <cell r="M98">
            <v>24068</v>
          </cell>
          <cell r="N98">
            <v>2.2983980415429814E-5</v>
          </cell>
          <cell r="O98">
            <v>7.5847135370918386E-6</v>
          </cell>
          <cell r="P98">
            <v>26896</v>
          </cell>
          <cell r="Q98">
            <v>9018</v>
          </cell>
          <cell r="R98">
            <v>35914</v>
          </cell>
          <cell r="S98">
            <v>2.8690286493978668E-5</v>
          </cell>
          <cell r="T98">
            <v>9.7546974079527481E-6</v>
          </cell>
          <cell r="U98">
            <v>2.7327333871027055E-5</v>
          </cell>
          <cell r="V98">
            <v>1.2297300241962174E-6</v>
          </cell>
          <cell r="W98">
            <v>5.7380572987957335E-7</v>
          </cell>
          <cell r="X98">
            <v>50.508968021538301</v>
          </cell>
          <cell r="Y98">
            <v>10381.132330012535</v>
          </cell>
          <cell r="Z98">
            <v>4.495567057707062E-3</v>
          </cell>
          <cell r="AA98">
            <v>1.1238917644267656E-4</v>
          </cell>
          <cell r="AB98">
            <v>2.5471698113207547E-3</v>
          </cell>
          <cell r="AC98">
            <v>4.1625745543779754E-3</v>
          </cell>
        </row>
        <row r="99">
          <cell r="A99">
            <v>95</v>
          </cell>
          <cell r="B99" t="str">
            <v xml:space="preserve">TIXPEUAL </v>
          </cell>
          <cell r="C99">
            <v>5690</v>
          </cell>
          <cell r="D99">
            <v>2.4516372542007447E-3</v>
          </cell>
          <cell r="E99">
            <v>1.5690478426884766E-3</v>
          </cell>
          <cell r="F99">
            <v>453273.54</v>
          </cell>
          <cell r="G99">
            <v>34010</v>
          </cell>
          <cell r="H99">
            <v>487283.54</v>
          </cell>
          <cell r="I99">
            <v>4.5177928223449649E-4</v>
          </cell>
          <cell r="J99">
            <v>1.4908716313738384E-4</v>
          </cell>
          <cell r="K99">
            <v>80482</v>
          </cell>
          <cell r="L99">
            <v>17660</v>
          </cell>
          <cell r="M99">
            <v>98142</v>
          </cell>
          <cell r="N99">
            <v>9.3721697105331257E-5</v>
          </cell>
          <cell r="O99">
            <v>3.0928160044759319E-5</v>
          </cell>
          <cell r="P99">
            <v>154925</v>
          </cell>
          <cell r="Q99">
            <v>13290</v>
          </cell>
          <cell r="R99">
            <v>168215</v>
          </cell>
          <cell r="S99">
            <v>1.3438036817354295E-4</v>
          </cell>
          <cell r="T99">
            <v>4.5689325179004603E-5</v>
          </cell>
          <cell r="U99">
            <v>2.2570464836114778E-4</v>
          </cell>
          <cell r="V99">
            <v>1.0156709176251649E-5</v>
          </cell>
          <cell r="W99">
            <v>2.6876073634708589E-6</v>
          </cell>
          <cell r="X99">
            <v>55.0001326669543</v>
          </cell>
          <cell r="Y99">
            <v>7129.4600902043667</v>
          </cell>
          <cell r="Z99">
            <v>3.087424849416332E-3</v>
          </cell>
          <cell r="AA99">
            <v>7.7185621235408304E-5</v>
          </cell>
          <cell r="AB99">
            <v>2.5471698113207547E-3</v>
          </cell>
          <cell r="AC99">
            <v>4.2062475917843626E-3</v>
          </cell>
        </row>
        <row r="100">
          <cell r="A100">
            <v>96</v>
          </cell>
          <cell r="B100" t="str">
            <v xml:space="preserve">TIZIMIN </v>
          </cell>
          <cell r="C100">
            <v>80672</v>
          </cell>
          <cell r="D100">
            <v>3.4758959678538218E-2</v>
          </cell>
          <cell r="E100">
            <v>2.2245734194264458E-2</v>
          </cell>
          <cell r="F100">
            <v>2788609.47</v>
          </cell>
          <cell r="G100">
            <v>7964458.7000000002</v>
          </cell>
          <cell r="H100">
            <v>10753068.17</v>
          </cell>
          <cell r="I100">
            <v>9.9695824317423288E-3</v>
          </cell>
          <cell r="J100">
            <v>3.2899622024749687E-3</v>
          </cell>
          <cell r="K100">
            <v>3261751.03</v>
          </cell>
          <cell r="L100">
            <v>6571930.9299999997</v>
          </cell>
          <cell r="M100">
            <v>9833681.959999999</v>
          </cell>
          <cell r="N100">
            <v>9.390774205592714E-3</v>
          </cell>
          <cell r="O100">
            <v>3.098955487845596E-3</v>
          </cell>
          <cell r="P100">
            <v>4091545.04</v>
          </cell>
          <cell r="Q100">
            <v>6137486.6100000003</v>
          </cell>
          <cell r="R100">
            <v>10229031.65</v>
          </cell>
          <cell r="S100">
            <v>8.1715723281860931E-3</v>
          </cell>
          <cell r="T100">
            <v>2.7783345915832719E-3</v>
          </cell>
          <cell r="U100">
            <v>9.1672522819038361E-3</v>
          </cell>
          <cell r="V100">
            <v>4.1252635268567263E-4</v>
          </cell>
          <cell r="W100">
            <v>1.6343144656372186E-4</v>
          </cell>
          <cell r="X100">
            <v>53.416208398811101</v>
          </cell>
          <cell r="Y100">
            <v>119684.98380904166</v>
          </cell>
          <cell r="Z100">
            <v>5.1829786328663537E-2</v>
          </cell>
          <cell r="AA100">
            <v>1.2957446582165886E-3</v>
          </cell>
          <cell r="AB100">
            <v>2.5471698113207547E-3</v>
          </cell>
          <cell r="AC100">
            <v>2.6664606463051195E-2</v>
          </cell>
        </row>
        <row r="101">
          <cell r="A101">
            <v>97</v>
          </cell>
          <cell r="B101" t="str">
            <v xml:space="preserve">TUNKAS </v>
          </cell>
          <cell r="C101">
            <v>3684</v>
          </cell>
          <cell r="D101">
            <v>1.5873166334754909E-3</v>
          </cell>
          <cell r="E101">
            <v>1.0158826454243141E-3</v>
          </cell>
          <cell r="F101">
            <v>47510</v>
          </cell>
          <cell r="G101">
            <v>4350</v>
          </cell>
          <cell r="H101">
            <v>51860</v>
          </cell>
          <cell r="I101">
            <v>4.8081397489192815E-5</v>
          </cell>
          <cell r="J101">
            <v>1.586686117143363E-5</v>
          </cell>
          <cell r="K101">
            <v>49600</v>
          </cell>
          <cell r="L101">
            <v>0</v>
          </cell>
          <cell r="M101">
            <v>49600</v>
          </cell>
          <cell r="N101">
            <v>4.7366022461580468E-5</v>
          </cell>
          <cell r="O101">
            <v>1.5630787412321555E-5</v>
          </cell>
          <cell r="P101">
            <v>48324</v>
          </cell>
          <cell r="Q101">
            <v>240</v>
          </cell>
          <cell r="R101">
            <v>48564</v>
          </cell>
          <cell r="S101">
            <v>3.8795875516332905E-5</v>
          </cell>
          <cell r="T101">
            <v>1.3190597675553189E-5</v>
          </cell>
          <cell r="U101">
            <v>4.4688246259308372E-5</v>
          </cell>
          <cell r="V101">
            <v>2.0109710816688768E-6</v>
          </cell>
          <cell r="W101">
            <v>7.7591751032665809E-7</v>
          </cell>
          <cell r="X101">
            <v>51.540020862115803</v>
          </cell>
          <cell r="Y101">
            <v>6471.9515937613551</v>
          </cell>
          <cell r="Z101">
            <v>2.802689673829939E-3</v>
          </cell>
          <cell r="AA101">
            <v>7.0067241845748484E-5</v>
          </cell>
          <cell r="AB101">
            <v>2.5471698113207547E-3</v>
          </cell>
          <cell r="AC101">
            <v>3.6359065871828127E-3</v>
          </cell>
        </row>
        <row r="102">
          <cell r="A102">
            <v>98</v>
          </cell>
          <cell r="B102" t="str">
            <v xml:space="preserve">TZUCACAB </v>
          </cell>
          <cell r="C102">
            <v>15346</v>
          </cell>
          <cell r="D102">
            <v>6.6120958353189157E-3</v>
          </cell>
          <cell r="E102">
            <v>4.2317413346041064E-3</v>
          </cell>
          <cell r="F102">
            <v>40558</v>
          </cell>
          <cell r="G102">
            <v>36491</v>
          </cell>
          <cell r="H102">
            <v>77049</v>
          </cell>
          <cell r="I102">
            <v>7.1435086678457715E-5</v>
          </cell>
          <cell r="J102">
            <v>2.3573578603891046E-5</v>
          </cell>
          <cell r="K102">
            <v>25202.3</v>
          </cell>
          <cell r="L102">
            <v>35748</v>
          </cell>
          <cell r="M102">
            <v>60950.3</v>
          </cell>
          <cell r="N102">
            <v>5.8205106428227182E-5</v>
          </cell>
          <cell r="O102">
            <v>1.9207685121314971E-5</v>
          </cell>
          <cell r="P102">
            <v>23670.5</v>
          </cell>
          <cell r="Q102">
            <v>26566.5</v>
          </cell>
          <cell r="R102">
            <v>50237</v>
          </cell>
          <cell r="S102">
            <v>4.0132369621818966E-5</v>
          </cell>
          <cell r="T102">
            <v>1.3645005671418449E-5</v>
          </cell>
          <cell r="U102">
            <v>5.6426269396624466E-5</v>
          </cell>
          <cell r="V102">
            <v>2.539182122848101E-6</v>
          </cell>
          <cell r="W102">
            <v>8.0264739243637932E-7</v>
          </cell>
          <cell r="X102">
            <v>53.404542909139003</v>
          </cell>
          <cell r="Y102">
            <v>22793.391585580961</v>
          </cell>
          <cell r="Z102">
            <v>9.870717094060141E-3</v>
          </cell>
          <cell r="AA102">
            <v>2.4676792735150353E-4</v>
          </cell>
          <cell r="AB102">
            <v>2.5471698113207547E-3</v>
          </cell>
          <cell r="AC102">
            <v>7.02902090279165E-3</v>
          </cell>
        </row>
        <row r="103">
          <cell r="A103">
            <v>99</v>
          </cell>
          <cell r="B103" t="str">
            <v xml:space="preserve">UAYMA </v>
          </cell>
          <cell r="C103">
            <v>4191</v>
          </cell>
          <cell r="D103">
            <v>1.8057665610466294E-3</v>
          </cell>
          <cell r="E103">
            <v>1.1556905990698428E-3</v>
          </cell>
          <cell r="F103">
            <v>7110</v>
          </cell>
          <cell r="G103">
            <v>0</v>
          </cell>
          <cell r="H103">
            <v>7110</v>
          </cell>
          <cell r="I103">
            <v>6.5919540329379279E-6</v>
          </cell>
          <cell r="J103">
            <v>2.1753448308695161E-6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2951.06</v>
          </cell>
          <cell r="Q103">
            <v>0</v>
          </cell>
          <cell r="R103">
            <v>2951.06</v>
          </cell>
          <cell r="S103">
            <v>2.3574861296686718E-6</v>
          </cell>
          <cell r="T103">
            <v>8.0154528408734849E-7</v>
          </cell>
          <cell r="U103">
            <v>2.9768901149568645E-6</v>
          </cell>
          <cell r="V103">
            <v>1.3396005517305889E-7</v>
          </cell>
          <cell r="W103">
            <v>4.7149722593373439E-8</v>
          </cell>
          <cell r="X103">
            <v>49.6852777840841</v>
          </cell>
          <cell r="Y103">
            <v>8494.4175174851516</v>
          </cell>
          <cell r="Z103">
            <v>3.6785219908635862E-3</v>
          </cell>
          <cell r="AA103">
            <v>9.1963049771589655E-5</v>
          </cell>
          <cell r="AB103">
            <v>2.5471698113207547E-3</v>
          </cell>
          <cell r="AC103">
            <v>3.7950045699399536E-3</v>
          </cell>
        </row>
        <row r="104">
          <cell r="A104">
            <v>100</v>
          </cell>
          <cell r="B104" t="str">
            <v xml:space="preserve">UCU </v>
          </cell>
          <cell r="C104">
            <v>4049</v>
          </cell>
          <cell r="D104">
            <v>1.7445833466184209E-3</v>
          </cell>
          <cell r="E104">
            <v>1.1165333418357893E-3</v>
          </cell>
          <cell r="F104">
            <v>272783.08</v>
          </cell>
          <cell r="G104">
            <v>6525</v>
          </cell>
          <cell r="H104">
            <v>279308.08</v>
          </cell>
          <cell r="I104">
            <v>2.589572467493881E-4</v>
          </cell>
          <cell r="J104">
            <v>8.5455891427298081E-5</v>
          </cell>
          <cell r="K104">
            <v>436985.07</v>
          </cell>
          <cell r="L104">
            <v>9340</v>
          </cell>
          <cell r="M104">
            <v>446325.07</v>
          </cell>
          <cell r="N104">
            <v>4.262226469916628E-4</v>
          </cell>
          <cell r="O104">
            <v>1.4065347350724873E-4</v>
          </cell>
          <cell r="P104">
            <v>308846.09999999998</v>
          </cell>
          <cell r="Q104">
            <v>10860</v>
          </cell>
          <cell r="R104">
            <v>319706.09999999998</v>
          </cell>
          <cell r="S104">
            <v>2.5540066834305823E-4</v>
          </cell>
          <cell r="T104">
            <v>8.6836227236639804E-5</v>
          </cell>
          <cell r="U104">
            <v>3.1294559217118662E-4</v>
          </cell>
          <cell r="V104">
            <v>1.4082551647703397E-5</v>
          </cell>
          <cell r="W104">
            <v>5.1080133668611645E-6</v>
          </cell>
          <cell r="X104">
            <v>54.379222795855398</v>
          </cell>
          <cell r="Y104">
            <v>5439.3665165790608</v>
          </cell>
          <cell r="Z104">
            <v>2.355526945363398E-3</v>
          </cell>
          <cell r="AA104">
            <v>5.888817363408495E-5</v>
          </cell>
          <cell r="AB104">
            <v>2.5471698113207547E-3</v>
          </cell>
          <cell r="AC104">
            <v>3.7417818918051935E-3</v>
          </cell>
        </row>
        <row r="105">
          <cell r="A105">
            <v>101</v>
          </cell>
          <cell r="B105" t="str">
            <v xml:space="preserve">UMAN </v>
          </cell>
          <cell r="C105">
            <v>69147</v>
          </cell>
          <cell r="D105">
            <v>2.9793209352586801E-2</v>
          </cell>
          <cell r="E105">
            <v>1.9067653985655554E-2</v>
          </cell>
          <cell r="F105">
            <v>8767072.2100000009</v>
          </cell>
          <cell r="G105">
            <v>9310325.2899999991</v>
          </cell>
          <cell r="H105">
            <v>18077397.5</v>
          </cell>
          <cell r="I105">
            <v>1.676024941703896E-2</v>
          </cell>
          <cell r="J105">
            <v>5.5308823076228569E-3</v>
          </cell>
          <cell r="K105">
            <v>11222257.609999999</v>
          </cell>
          <cell r="L105">
            <v>7642452.0999999996</v>
          </cell>
          <cell r="M105">
            <v>18864709.710000001</v>
          </cell>
          <cell r="N105">
            <v>1.8015045642239016E-2</v>
          </cell>
          <cell r="O105">
            <v>5.9449650619388759E-3</v>
          </cell>
          <cell r="P105">
            <v>11924264.9</v>
          </cell>
          <cell r="Q105">
            <v>8305060.3899999997</v>
          </cell>
          <cell r="R105">
            <v>20229325.289999999</v>
          </cell>
          <cell r="S105">
            <v>1.6160414828478811E-2</v>
          </cell>
          <cell r="T105">
            <v>5.4945410416827965E-3</v>
          </cell>
          <cell r="U105">
            <v>1.6970388411244527E-2</v>
          </cell>
          <cell r="V105">
            <v>7.6366747850600369E-4</v>
          </cell>
          <cell r="W105">
            <v>3.2320829656957626E-4</v>
          </cell>
          <cell r="X105">
            <v>57.140115403614402</v>
          </cell>
          <cell r="Y105">
            <v>65094.930291121491</v>
          </cell>
          <cell r="Z105">
            <v>2.8189470564252982E-2</v>
          </cell>
          <cell r="AA105">
            <v>7.0473676410632462E-4</v>
          </cell>
          <cell r="AB105">
            <v>2.5471698113207547E-3</v>
          </cell>
          <cell r="AC105">
            <v>2.3406436336158215E-2</v>
          </cell>
        </row>
        <row r="106">
          <cell r="A106">
            <v>102</v>
          </cell>
          <cell r="B106" t="str">
            <v xml:space="preserve">VALLADOLID </v>
          </cell>
          <cell r="C106">
            <v>85460</v>
          </cell>
          <cell r="D106">
            <v>3.6821954260807671E-2</v>
          </cell>
          <cell r="E106">
            <v>2.356605072691691E-2</v>
          </cell>
          <cell r="F106">
            <v>3833121.11</v>
          </cell>
          <cell r="G106">
            <v>16571474.83</v>
          </cell>
          <cell r="H106">
            <v>20404595.940000001</v>
          </cell>
          <cell r="I106">
            <v>1.8917884458108561E-2</v>
          </cell>
          <cell r="J106">
            <v>6.2429018711758254E-3</v>
          </cell>
          <cell r="K106">
            <v>3556475.68</v>
          </cell>
          <cell r="L106">
            <v>14387359.310000001</v>
          </cell>
          <cell r="M106">
            <v>17943834.990000002</v>
          </cell>
          <cell r="N106">
            <v>1.7135646999661969E-2</v>
          </cell>
          <cell r="O106">
            <v>5.6547635098884502E-3</v>
          </cell>
          <cell r="P106">
            <v>4961059.62</v>
          </cell>
          <cell r="Q106">
            <v>18613548.280000001</v>
          </cell>
          <cell r="R106">
            <v>23574607.900000002</v>
          </cell>
          <cell r="S106">
            <v>1.8832829944707159E-2</v>
          </cell>
          <cell r="T106">
            <v>6.4031621812004344E-3</v>
          </cell>
          <cell r="U106">
            <v>1.8300827562264709E-2</v>
          </cell>
          <cell r="V106">
            <v>8.2353724030191189E-4</v>
          </cell>
          <cell r="W106">
            <v>3.7665659889414316E-4</v>
          </cell>
          <cell r="X106">
            <v>54.517075111596697</v>
          </cell>
          <cell r="Y106">
            <v>113090.40279620489</v>
          </cell>
          <cell r="Z106">
            <v>4.8973991775791897E-2</v>
          </cell>
          <cell r="AA106">
            <v>1.2243497943947976E-3</v>
          </cell>
          <cell r="AB106">
            <v>2.5471698113207547E-3</v>
          </cell>
          <cell r="AC106">
            <v>2.8537764171828517E-2</v>
          </cell>
        </row>
        <row r="107">
          <cell r="A107">
            <v>103</v>
          </cell>
          <cell r="B107" t="str">
            <v xml:space="preserve">XOCCHEL </v>
          </cell>
          <cell r="C107">
            <v>3451</v>
          </cell>
          <cell r="D107">
            <v>1.4869244576883602E-3</v>
          </cell>
          <cell r="E107">
            <v>9.5163165292055062E-4</v>
          </cell>
          <cell r="F107">
            <v>7060</v>
          </cell>
          <cell r="G107">
            <v>4830</v>
          </cell>
          <cell r="H107">
            <v>11890</v>
          </cell>
          <cell r="I107">
            <v>1.1023675590946829E-5</v>
          </cell>
          <cell r="J107">
            <v>3.6378129450124539E-6</v>
          </cell>
          <cell r="K107">
            <v>11224.94</v>
          </cell>
          <cell r="L107">
            <v>8258</v>
          </cell>
          <cell r="M107">
            <v>19482.940000000002</v>
          </cell>
          <cell r="N107">
            <v>1.8605430920516625E-5</v>
          </cell>
          <cell r="O107">
            <v>6.1397922037704864E-6</v>
          </cell>
          <cell r="P107">
            <v>31221.24</v>
          </cell>
          <cell r="Q107">
            <v>8145</v>
          </cell>
          <cell r="R107">
            <v>39366.240000000005</v>
          </cell>
          <cell r="S107">
            <v>3.1448145675522719E-5</v>
          </cell>
          <cell r="T107">
            <v>1.0692369529677725E-5</v>
          </cell>
          <cell r="U107">
            <v>2.0469974678460666E-5</v>
          </cell>
          <cell r="V107">
            <v>9.2114886053072994E-7</v>
          </cell>
          <cell r="W107">
            <v>6.2896291351045442E-7</v>
          </cell>
          <cell r="X107">
            <v>51.462046075133301</v>
          </cell>
          <cell r="Y107">
            <v>6101.8031416304957</v>
          </cell>
          <cell r="Z107">
            <v>2.6423962554472506E-3</v>
          </cell>
          <cell r="AA107">
            <v>6.6059906386181264E-5</v>
          </cell>
          <cell r="AB107">
            <v>2.5471698113207547E-3</v>
          </cell>
          <cell r="AC107">
            <v>3.5664114824015278E-3</v>
          </cell>
        </row>
        <row r="108">
          <cell r="A108">
            <v>104</v>
          </cell>
          <cell r="B108" t="str">
            <v xml:space="preserve">YAXCABA </v>
          </cell>
          <cell r="C108">
            <v>16350</v>
          </cell>
          <cell r="D108">
            <v>7.0446870133887831E-3</v>
          </cell>
          <cell r="E108">
            <v>4.5085996885688212E-3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50000</v>
          </cell>
          <cell r="M108">
            <v>50000</v>
          </cell>
          <cell r="N108">
            <v>4.7748006513689989E-5</v>
          </cell>
          <cell r="O108">
            <v>1.5756842149517696E-5</v>
          </cell>
          <cell r="P108">
            <v>72210</v>
          </cell>
          <cell r="Q108">
            <v>13745</v>
          </cell>
          <cell r="R108">
            <v>85955</v>
          </cell>
          <cell r="S108">
            <v>6.8666079400510563E-5</v>
          </cell>
          <cell r="T108">
            <v>2.3346466996173594E-5</v>
          </cell>
          <cell r="U108">
            <v>3.9103309145691287E-5</v>
          </cell>
          <cell r="V108">
            <v>1.7596489115561078E-6</v>
          </cell>
          <cell r="W108">
            <v>1.3733215880102112E-6</v>
          </cell>
          <cell r="X108">
            <v>49.328247322259301</v>
          </cell>
          <cell r="Y108">
            <v>33988.497554522372</v>
          </cell>
          <cell r="Z108">
            <v>1.4718776824115804E-2</v>
          </cell>
          <cell r="AA108">
            <v>3.6796942060289512E-4</v>
          </cell>
          <cell r="AB108">
            <v>2.5471698113207547E-3</v>
          </cell>
          <cell r="AC108">
            <v>7.4268718909920378E-3</v>
          </cell>
        </row>
        <row r="109">
          <cell r="A109">
            <v>105</v>
          </cell>
          <cell r="B109" t="str">
            <v xml:space="preserve">YAXKUKUL </v>
          </cell>
          <cell r="C109">
            <v>3293</v>
          </cell>
          <cell r="D109">
            <v>1.4188473599442974E-3</v>
          </cell>
          <cell r="E109">
            <v>9.0806231036435038E-4</v>
          </cell>
          <cell r="F109">
            <v>422903</v>
          </cell>
          <cell r="G109">
            <v>0</v>
          </cell>
          <cell r="H109">
            <v>422903</v>
          </cell>
          <cell r="I109">
            <v>3.9208961130682822E-4</v>
          </cell>
          <cell r="J109">
            <v>1.2938957173125331E-4</v>
          </cell>
          <cell r="K109">
            <v>98594</v>
          </cell>
          <cell r="L109">
            <v>0</v>
          </cell>
          <cell r="M109">
            <v>98594</v>
          </cell>
          <cell r="N109">
            <v>9.4153339084215016E-5</v>
          </cell>
          <cell r="O109">
            <v>3.1070601897790959E-5</v>
          </cell>
          <cell r="P109">
            <v>177628</v>
          </cell>
          <cell r="Q109">
            <v>0</v>
          </cell>
          <cell r="R109">
            <v>177628</v>
          </cell>
          <cell r="S109">
            <v>1.4190004481128371E-4</v>
          </cell>
          <cell r="T109">
            <v>4.8246015235836463E-5</v>
          </cell>
          <cell r="U109">
            <v>2.0870618886488073E-4</v>
          </cell>
          <cell r="V109">
            <v>9.3917784989196331E-6</v>
          </cell>
          <cell r="W109">
            <v>2.8380008962256742E-6</v>
          </cell>
          <cell r="X109">
            <v>55.812858213195398</v>
          </cell>
          <cell r="Y109">
            <v>3736.3953508147615</v>
          </cell>
          <cell r="Z109">
            <v>1.6180523780754445E-3</v>
          </cell>
          <cell r="AA109">
            <v>4.0451309451886116E-5</v>
          </cell>
          <cell r="AB109">
            <v>2.5471698113207547E-3</v>
          </cell>
          <cell r="AC109">
            <v>3.5079132105321365E-3</v>
          </cell>
        </row>
        <row r="110">
          <cell r="A110">
            <v>106</v>
          </cell>
          <cell r="B110" t="str">
            <v xml:space="preserve">YOBAIN </v>
          </cell>
          <cell r="C110">
            <v>2215</v>
          </cell>
          <cell r="D110">
            <v>9.5437197153860269E-4</v>
          </cell>
          <cell r="E110">
            <v>6.1079806178470579E-4</v>
          </cell>
          <cell r="F110">
            <v>561929</v>
          </cell>
          <cell r="G110">
            <v>46236</v>
          </cell>
          <cell r="H110">
            <v>608165</v>
          </cell>
          <cell r="I110">
            <v>5.6385312580051964E-4</v>
          </cell>
          <cell r="J110">
            <v>1.8607153151417149E-4</v>
          </cell>
          <cell r="K110">
            <v>448928.5</v>
          </cell>
          <cell r="L110">
            <v>59557</v>
          </cell>
          <cell r="M110">
            <v>508485.5</v>
          </cell>
          <cell r="N110">
            <v>4.8558337932233823E-4</v>
          </cell>
          <cell r="O110">
            <v>1.6024251517637162E-4</v>
          </cell>
          <cell r="P110">
            <v>14252.6</v>
          </cell>
          <cell r="Q110">
            <v>0</v>
          </cell>
          <cell r="R110">
            <v>14252.6</v>
          </cell>
          <cell r="S110">
            <v>1.1385843328063717E-5</v>
          </cell>
          <cell r="T110">
            <v>3.8711867315416637E-6</v>
          </cell>
          <cell r="U110">
            <v>3.5018523342208476E-4</v>
          </cell>
          <cell r="V110">
            <v>1.5758335503993813E-5</v>
          </cell>
          <cell r="W110">
            <v>2.2771686656127436E-7</v>
          </cell>
          <cell r="X110">
            <v>54.357342749490201</v>
          </cell>
          <cell r="Y110">
            <v>2982.654533918409</v>
          </cell>
          <cell r="Z110">
            <v>1.2916436320187068E-3</v>
          </cell>
          <cell r="AA110">
            <v>3.2291090800467669E-5</v>
          </cell>
          <cell r="AB110">
            <v>2.5471698113207547E-3</v>
          </cell>
          <cell r="AC110">
            <v>3.2062450162764831E-3</v>
          </cell>
        </row>
      </sheetData>
      <sheetData sheetId="3"/>
      <sheetData sheetId="4"/>
      <sheetData sheetId="5">
        <row r="5">
          <cell r="J5">
            <v>3.4054786154979763E-3</v>
          </cell>
        </row>
        <row r="6">
          <cell r="J6">
            <v>7.7623420388908612E-3</v>
          </cell>
        </row>
        <row r="7">
          <cell r="J7">
            <v>5.9785928444109245E-3</v>
          </cell>
        </row>
        <row r="8">
          <cell r="J8">
            <v>2.8737492386641853E-3</v>
          </cell>
        </row>
        <row r="9">
          <cell r="J9">
            <v>1.0316240721777122E-3</v>
          </cell>
        </row>
        <row r="10">
          <cell r="J10">
            <v>4.4012940135547633E-3</v>
          </cell>
        </row>
        <row r="11">
          <cell r="J11">
            <v>3.3002499463085058E-3</v>
          </cell>
        </row>
        <row r="12">
          <cell r="J12">
            <v>2.049079727188481E-3</v>
          </cell>
        </row>
        <row r="13">
          <cell r="J13">
            <v>2.181384846270687E-3</v>
          </cell>
        </row>
        <row r="14">
          <cell r="J14">
            <v>1.5888518732702262E-3</v>
          </cell>
        </row>
        <row r="15">
          <cell r="J15">
            <v>3.863858228817226E-3</v>
          </cell>
        </row>
        <row r="16">
          <cell r="J16">
            <v>1.8244336069974249E-3</v>
          </cell>
        </row>
        <row r="17">
          <cell r="J17">
            <v>6.5173654285506045E-3</v>
          </cell>
        </row>
        <row r="18">
          <cell r="J18">
            <v>8.7367757215465222E-4</v>
          </cell>
        </row>
        <row r="19">
          <cell r="J19">
            <v>2.9278997263421274E-3</v>
          </cell>
        </row>
        <row r="20">
          <cell r="J20">
            <v>1.5997735931283768E-3</v>
          </cell>
        </row>
        <row r="21">
          <cell r="J21">
            <v>2.6292213480705821E-3</v>
          </cell>
        </row>
        <row r="22">
          <cell r="J22">
            <v>1.7271685504444139E-3</v>
          </cell>
        </row>
        <row r="23">
          <cell r="J23">
            <v>2.2661912873688586E-2</v>
          </cell>
        </row>
        <row r="24">
          <cell r="J24">
            <v>2.0297627582607806E-3</v>
          </cell>
        </row>
        <row r="25">
          <cell r="J25">
            <v>5.227188962295814E-3</v>
          </cell>
        </row>
        <row r="26">
          <cell r="J26">
            <v>2.5139747767827154E-3</v>
          </cell>
        </row>
        <row r="27">
          <cell r="J27">
            <v>2.274243532181538E-3</v>
          </cell>
        </row>
        <row r="28">
          <cell r="J28">
            <v>1.738040955715485E-3</v>
          </cell>
        </row>
        <row r="29">
          <cell r="J29">
            <v>2.7924748276688428E-3</v>
          </cell>
        </row>
        <row r="30">
          <cell r="J30">
            <v>1.6759374273867329E-3</v>
          </cell>
        </row>
        <row r="31">
          <cell r="J31">
            <v>3.6052679116127355E-3</v>
          </cell>
        </row>
        <row r="32">
          <cell r="J32">
            <v>1.3687878452620151E-3</v>
          </cell>
        </row>
        <row r="33">
          <cell r="J33">
            <v>2.8432498674987941E-3</v>
          </cell>
        </row>
        <row r="34">
          <cell r="J34">
            <v>2.300311765319649E-3</v>
          </cell>
        </row>
        <row r="35">
          <cell r="J35">
            <v>1.5078916515455611E-3</v>
          </cell>
        </row>
        <row r="36">
          <cell r="J36">
            <v>8.66426232404356E-3</v>
          </cell>
        </row>
        <row r="37">
          <cell r="J37">
            <v>1.1032595466713488E-2</v>
          </cell>
        </row>
        <row r="38">
          <cell r="J38">
            <v>3.522020177651887E-3</v>
          </cell>
        </row>
        <row r="39">
          <cell r="J39">
            <v>3.2472298553058573E-3</v>
          </cell>
        </row>
        <row r="40">
          <cell r="J40">
            <v>4.0583329873771839E-3</v>
          </cell>
        </row>
        <row r="41">
          <cell r="J41">
            <v>2.5286162275257032E-3</v>
          </cell>
        </row>
        <row r="42">
          <cell r="J42">
            <v>1.6654177721134981E-2</v>
          </cell>
        </row>
        <row r="43">
          <cell r="J43">
            <v>1.9355702872341034E-3</v>
          </cell>
        </row>
        <row r="44">
          <cell r="J44">
            <v>1.3248468455626616E-2</v>
          </cell>
        </row>
        <row r="45">
          <cell r="J45">
            <v>5.7533038309649259E-2</v>
          </cell>
        </row>
        <row r="46">
          <cell r="J46">
            <v>2.8374609254732844E-3</v>
          </cell>
        </row>
        <row r="47">
          <cell r="J47">
            <v>1.7782878416254008E-3</v>
          </cell>
        </row>
        <row r="48">
          <cell r="J48">
            <v>3.6618458543408909E-3</v>
          </cell>
        </row>
        <row r="49">
          <cell r="J49">
            <v>1.2596689061327819E-3</v>
          </cell>
        </row>
        <row r="50">
          <cell r="J50">
            <v>1.7261996396043928E-3</v>
          </cell>
        </row>
        <row r="51">
          <cell r="J51">
            <v>3.1103557268993311E-3</v>
          </cell>
        </row>
        <row r="52">
          <cell r="J52">
            <v>1.1696942432822981E-2</v>
          </cell>
        </row>
        <row r="53">
          <cell r="J53">
            <v>2.4784138429005094E-3</v>
          </cell>
        </row>
        <row r="54">
          <cell r="J54">
            <v>0.36963765303409196</v>
          </cell>
        </row>
        <row r="55">
          <cell r="J55">
            <v>1.5611259832529261E-3</v>
          </cell>
        </row>
        <row r="56">
          <cell r="J56">
            <v>1.7281350614351969E-2</v>
          </cell>
        </row>
        <row r="57">
          <cell r="J57">
            <v>6.1925229286870689E-3</v>
          </cell>
        </row>
        <row r="58">
          <cell r="J58">
            <v>1.4493302847679527E-3</v>
          </cell>
        </row>
        <row r="59">
          <cell r="J59">
            <v>3.4555671677140125E-3</v>
          </cell>
        </row>
        <row r="60">
          <cell r="J60">
            <v>1.6682935332327793E-2</v>
          </cell>
        </row>
        <row r="61">
          <cell r="J61">
            <v>3.6721396105894233E-3</v>
          </cell>
        </row>
        <row r="62">
          <cell r="J62">
            <v>1.2822490939226806E-2</v>
          </cell>
        </row>
        <row r="63">
          <cell r="J63">
            <v>2.7360779898794721E-2</v>
          </cell>
        </row>
        <row r="64">
          <cell r="J64">
            <v>4.8351552466682573E-4</v>
          </cell>
        </row>
        <row r="65">
          <cell r="J65">
            <v>1.9066910472896425E-3</v>
          </cell>
        </row>
        <row r="66">
          <cell r="J66">
            <v>2.4112056149526813E-3</v>
          </cell>
        </row>
        <row r="67">
          <cell r="J67">
            <v>2.7464470588356789E-3</v>
          </cell>
        </row>
        <row r="68">
          <cell r="J68">
            <v>8.2719555031617173E-4</v>
          </cell>
        </row>
        <row r="69">
          <cell r="J69">
            <v>9.4759405307771904E-4</v>
          </cell>
        </row>
        <row r="70">
          <cell r="J70">
            <v>2.2079308401483817E-3</v>
          </cell>
        </row>
        <row r="71">
          <cell r="J71">
            <v>4.5838464832299629E-3</v>
          </cell>
        </row>
        <row r="72">
          <cell r="J72">
            <v>1.5301626425183843E-3</v>
          </cell>
        </row>
        <row r="73">
          <cell r="J73">
            <v>4.6449281860047268E-3</v>
          </cell>
        </row>
        <row r="74">
          <cell r="J74">
            <v>1.8772927459296323E-3</v>
          </cell>
        </row>
        <row r="75">
          <cell r="J75">
            <v>1.0108746835383376E-3</v>
          </cell>
        </row>
        <row r="76">
          <cell r="J76">
            <v>8.4936041066449217E-4</v>
          </cell>
        </row>
        <row r="77">
          <cell r="J77">
            <v>3.3336302367991174E-3</v>
          </cell>
        </row>
        <row r="78">
          <cell r="J78">
            <v>1.866067860124145E-3</v>
          </cell>
        </row>
        <row r="79">
          <cell r="J79">
            <v>3.7825632446180394E-3</v>
          </cell>
        </row>
        <row r="80">
          <cell r="J80">
            <v>9.0129422076440664E-3</v>
          </cell>
        </row>
        <row r="81">
          <cell r="J81">
            <v>1.4658273057510385E-3</v>
          </cell>
        </row>
        <row r="82">
          <cell r="J82">
            <v>1.9031193523737109E-3</v>
          </cell>
        </row>
        <row r="83">
          <cell r="J83">
            <v>2.1951546699239655E-2</v>
          </cell>
        </row>
        <row r="84">
          <cell r="J84">
            <v>5.2952331858807863E-3</v>
          </cell>
        </row>
        <row r="85">
          <cell r="J85">
            <v>1.8163149477235124E-3</v>
          </cell>
        </row>
        <row r="86">
          <cell r="J86">
            <v>1.6063233928336116E-3</v>
          </cell>
        </row>
        <row r="87">
          <cell r="J87">
            <v>8.7956593135374143E-4</v>
          </cell>
        </row>
        <row r="88">
          <cell r="J88">
            <v>3.4945885734522977E-3</v>
          </cell>
        </row>
        <row r="89">
          <cell r="J89">
            <v>8.7722101045307754E-3</v>
          </cell>
        </row>
        <row r="90">
          <cell r="J90">
            <v>1.1673843473559409E-3</v>
          </cell>
        </row>
        <row r="91">
          <cell r="J91">
            <v>2.936413563900812E-3</v>
          </cell>
        </row>
        <row r="92">
          <cell r="J92">
            <v>9.7942174710702106E-4</v>
          </cell>
        </row>
        <row r="93">
          <cell r="J93">
            <v>1.8019451777219128E-2</v>
          </cell>
        </row>
        <row r="94">
          <cell r="J94">
            <v>3.926556056759155E-3</v>
          </cell>
        </row>
        <row r="95">
          <cell r="J95">
            <v>6.2694671269639896E-3</v>
          </cell>
        </row>
        <row r="96">
          <cell r="J96">
            <v>4.5664537250292223E-3</v>
          </cell>
        </row>
        <row r="97">
          <cell r="J97">
            <v>7.9188326930991499E-3</v>
          </cell>
        </row>
        <row r="98">
          <cell r="J98">
            <v>2.9906207760657562E-3</v>
          </cell>
        </row>
        <row r="99">
          <cell r="J99">
            <v>2.6423735327654207E-3</v>
          </cell>
        </row>
        <row r="100">
          <cell r="J100">
            <v>3.9880207673575807E-2</v>
          </cell>
        </row>
        <row r="101">
          <cell r="J101">
            <v>1.9519285455818253E-3</v>
          </cell>
        </row>
        <row r="102">
          <cell r="J102">
            <v>7.589682212941283E-3</v>
          </cell>
        </row>
        <row r="103">
          <cell r="J103">
            <v>2.3675931899917162E-3</v>
          </cell>
        </row>
        <row r="104">
          <cell r="J104">
            <v>1.927866426241914E-3</v>
          </cell>
        </row>
        <row r="105">
          <cell r="J105">
            <v>2.9312087716086656E-2</v>
          </cell>
        </row>
        <row r="106">
          <cell r="J106">
            <v>4.0467565515302936E-2</v>
          </cell>
        </row>
        <row r="107">
          <cell r="J107">
            <v>1.8335659970160274E-3</v>
          </cell>
        </row>
        <row r="108">
          <cell r="J108">
            <v>9.3469139566068893E-3</v>
          </cell>
        </row>
        <row r="109">
          <cell r="J109">
            <v>1.4786088653836414E-3</v>
          </cell>
        </row>
        <row r="110">
          <cell r="J110">
            <v>1.0555534696826338E-3</v>
          </cell>
        </row>
      </sheetData>
      <sheetData sheetId="6"/>
      <sheetData sheetId="7"/>
      <sheetData sheetId="8">
        <row r="21">
          <cell r="E21">
            <v>3062646472</v>
          </cell>
        </row>
        <row r="22">
          <cell r="E22">
            <v>1179501293</v>
          </cell>
        </row>
        <row r="23">
          <cell r="E23">
            <v>107349177</v>
          </cell>
        </row>
        <row r="24">
          <cell r="E24">
            <v>8528955</v>
          </cell>
        </row>
        <row r="25">
          <cell r="E25">
            <v>285374928</v>
          </cell>
        </row>
        <row r="26">
          <cell r="E26">
            <v>114830835</v>
          </cell>
        </row>
        <row r="27">
          <cell r="E27">
            <v>248195638</v>
          </cell>
        </row>
        <row r="28">
          <cell r="E28">
            <v>40547206</v>
          </cell>
        </row>
        <row r="29">
          <cell r="E29">
            <v>35581799.000000007</v>
          </cell>
        </row>
        <row r="31">
          <cell r="E31">
            <v>39291706</v>
          </cell>
        </row>
        <row r="32">
          <cell r="E32">
            <v>6439004.9999999991</v>
          </cell>
        </row>
      </sheetData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ENDARIO 2023 para R"/>
      <sheetName val="cédulas"/>
      <sheetName val="CALENDARIO 2023 acuerdo formula"/>
      <sheetName val="CALENDARIO 2023 TEXTO"/>
      <sheetName val="CALENDARIO 2023 lie FORMULADO"/>
      <sheetName val="Hoja1"/>
      <sheetName val="Hoja3"/>
      <sheetName val="Hoja4"/>
      <sheetName val="Hoja5"/>
      <sheetName val="Hoja6"/>
      <sheetName val="catálogo"/>
      <sheetName val="catalogo presupuesto ingresos"/>
      <sheetName val="Hoja2"/>
      <sheetName val="Hoja7"/>
      <sheetName val="año completo"/>
      <sheetName val="coeficientes"/>
      <sheetName val="respaldo coeficientes vigentes"/>
      <sheetName val="respaldos coeficientes"/>
      <sheetName val="catalogomunicipios"/>
      <sheetName val="CONVENIOS"/>
      <sheetName val="subsidio COVID"/>
      <sheetName val="OTROSRECURSOS"/>
      <sheetName val="reporte mensual"/>
      <sheetName val="ZOFEMAT"/>
      <sheetName val="ISAI"/>
      <sheetName val="ANTICIPOS"/>
      <sheetName val="RF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3">
          <cell r="C3" t="str">
            <v>faltante inicial feief</v>
          </cell>
          <cell r="D3" t="str">
            <v>fogen</v>
          </cell>
          <cell r="E3" t="str">
            <v>fomun 30%</v>
          </cell>
        </row>
        <row r="4">
          <cell r="A4">
            <v>1</v>
          </cell>
          <cell r="B4" t="str">
            <v xml:space="preserve">001 ABALA </v>
          </cell>
          <cell r="C4">
            <v>4.6563009837292148E-3</v>
          </cell>
          <cell r="D4">
            <v>4.4735941258124759E-3</v>
          </cell>
          <cell r="E4">
            <v>0</v>
          </cell>
        </row>
        <row r="5">
          <cell r="A5">
            <v>2</v>
          </cell>
          <cell r="B5" t="str">
            <v xml:space="preserve">002 ACANCEH </v>
          </cell>
          <cell r="C5">
            <v>7.6919034496633074E-3</v>
          </cell>
          <cell r="D5">
            <v>7.4027414003657067E-3</v>
          </cell>
          <cell r="E5">
            <v>0</v>
          </cell>
        </row>
        <row r="6">
          <cell r="A6">
            <v>3</v>
          </cell>
          <cell r="B6" t="str">
            <v xml:space="preserve">003 AKIL </v>
          </cell>
          <cell r="C6">
            <v>6.2121317837505229E-3</v>
          </cell>
          <cell r="D6">
            <v>6.1393078966464308E-3</v>
          </cell>
          <cell r="E6">
            <v>1.0604227164702267E-2</v>
          </cell>
        </row>
        <row r="7">
          <cell r="A7">
            <v>4</v>
          </cell>
          <cell r="B7" t="str">
            <v xml:space="preserve">004 BACA </v>
          </cell>
          <cell r="C7">
            <v>4.439747779050208E-3</v>
          </cell>
          <cell r="D7">
            <v>4.3561194296131483E-3</v>
          </cell>
          <cell r="E7">
            <v>0</v>
          </cell>
        </row>
        <row r="8">
          <cell r="A8">
            <v>5</v>
          </cell>
          <cell r="B8" t="str">
            <v xml:space="preserve">005 BOKOBA </v>
          </cell>
          <cell r="C8">
            <v>3.2475322624326108E-3</v>
          </cell>
          <cell r="D8">
            <v>3.1762350210610187E-3</v>
          </cell>
          <cell r="E8">
            <v>4.6262945121124301E-3</v>
          </cell>
        </row>
        <row r="9">
          <cell r="A9">
            <v>6</v>
          </cell>
          <cell r="B9" t="str">
            <v xml:space="preserve">006 BUCTZOTZ </v>
          </cell>
          <cell r="C9">
            <v>5.4050592867618454E-3</v>
          </cell>
          <cell r="D9">
            <v>5.2234195454994954E-3</v>
          </cell>
          <cell r="E9">
            <v>8.7805720635246824E-3</v>
          </cell>
        </row>
        <row r="10">
          <cell r="A10">
            <v>7</v>
          </cell>
          <cell r="B10" t="str">
            <v xml:space="preserve">007 CACALCHEN </v>
          </cell>
          <cell r="C10">
            <v>4.8467528067979932E-3</v>
          </cell>
          <cell r="D10">
            <v>4.7036163060097773E-3</v>
          </cell>
          <cell r="E10">
            <v>7.7005680854850883E-3</v>
          </cell>
        </row>
        <row r="11">
          <cell r="A11">
            <v>8</v>
          </cell>
          <cell r="B11" t="str">
            <v xml:space="preserve">008 CALOTMUL </v>
          </cell>
          <cell r="C11">
            <v>3.8427105087019691E-3</v>
          </cell>
          <cell r="D11">
            <v>3.7111181669522179E-3</v>
          </cell>
          <cell r="E11">
            <v>5.7043330589134494E-3</v>
          </cell>
        </row>
        <row r="12">
          <cell r="A12">
            <v>9</v>
          </cell>
          <cell r="B12" t="str">
            <v xml:space="preserve">009 CANSAHCAB </v>
          </cell>
          <cell r="C12">
            <v>4.0256346215961462E-3</v>
          </cell>
          <cell r="D12">
            <v>3.8553401918089295E-3</v>
          </cell>
          <cell r="E12">
            <v>6.0173746856262787E-3</v>
          </cell>
        </row>
        <row r="13">
          <cell r="A13">
            <v>10</v>
          </cell>
          <cell r="B13" t="str">
            <v xml:space="preserve">010 CANTAMAYEC </v>
          </cell>
          <cell r="C13">
            <v>3.3770164850948749E-3</v>
          </cell>
          <cell r="D13">
            <v>3.3700360443825956E-3</v>
          </cell>
          <cell r="E13">
            <v>5.0006828420014887E-3</v>
          </cell>
        </row>
        <row r="14">
          <cell r="A14">
            <v>11</v>
          </cell>
          <cell r="B14" t="str">
            <v xml:space="preserve">011 CELESTUN </v>
          </cell>
          <cell r="C14">
            <v>5.0702754194729034E-3</v>
          </cell>
          <cell r="D14">
            <v>4.9939204118972669E-3</v>
          </cell>
          <cell r="E14">
            <v>8.3813144141359902E-3</v>
          </cell>
        </row>
        <row r="15">
          <cell r="A15">
            <v>12</v>
          </cell>
          <cell r="B15" t="str">
            <v xml:space="preserve">012 CENOTILLO </v>
          </cell>
          <cell r="C15">
            <v>3.8193142310870777E-3</v>
          </cell>
          <cell r="D15">
            <v>3.6670017198249345E-3</v>
          </cell>
          <cell r="E15">
            <v>0</v>
          </cell>
        </row>
        <row r="16">
          <cell r="A16">
            <v>13</v>
          </cell>
          <cell r="B16" t="str">
            <v xml:space="preserve">013 CONKAL </v>
          </cell>
          <cell r="C16">
            <v>6.2255692310603976E-3</v>
          </cell>
          <cell r="D16">
            <v>7.6828160588081522E-3</v>
          </cell>
          <cell r="E16">
            <v>1.6094647404061226E-2</v>
          </cell>
        </row>
        <row r="17">
          <cell r="A17">
            <v>14</v>
          </cell>
          <cell r="B17" t="str">
            <v xml:space="preserve">014 CUNCUNUL </v>
          </cell>
          <cell r="C17">
            <v>3.0574692846476554E-3</v>
          </cell>
          <cell r="D17">
            <v>3.0513240548000441E-3</v>
          </cell>
          <cell r="E17">
            <v>0</v>
          </cell>
        </row>
        <row r="18">
          <cell r="A18">
            <v>15</v>
          </cell>
          <cell r="B18" t="str">
            <v xml:space="preserve">015 CUZAMA </v>
          </cell>
          <cell r="C18">
            <v>4.2229233596092503E-3</v>
          </cell>
          <cell r="D18">
            <v>4.1857812413180571E-3</v>
          </cell>
          <cell r="E18">
            <v>6.6301076661992222E-3</v>
          </cell>
        </row>
        <row r="19">
          <cell r="A19">
            <v>16</v>
          </cell>
          <cell r="B19" t="str">
            <v xml:space="preserve">016 CHACSINKIN </v>
          </cell>
          <cell r="C19">
            <v>3.5278997762671215E-3</v>
          </cell>
          <cell r="D19">
            <v>3.4587350840298574E-3</v>
          </cell>
          <cell r="E19">
            <v>5.1853314427082195E-3</v>
          </cell>
        </row>
        <row r="20">
          <cell r="A20">
            <v>17</v>
          </cell>
          <cell r="B20" t="str">
            <v xml:space="preserve">017 CHANKOM </v>
          </cell>
          <cell r="C20">
            <v>4.0475972990448366E-3</v>
          </cell>
          <cell r="D20">
            <v>3.9408073033234247E-3</v>
          </cell>
          <cell r="E20">
            <v>6.1319405945612334E-3</v>
          </cell>
        </row>
        <row r="21">
          <cell r="A21">
            <v>18</v>
          </cell>
          <cell r="B21" t="str">
            <v>018 CHAPAB</v>
          </cell>
          <cell r="C21">
            <v>3.5722631473792212E-3</v>
          </cell>
          <cell r="D21">
            <v>3.5395172382897302E-3</v>
          </cell>
          <cell r="E21">
            <v>5.3446693460206512E-3</v>
          </cell>
        </row>
        <row r="22">
          <cell r="A22">
            <v>19</v>
          </cell>
          <cell r="B22" t="str">
            <v xml:space="preserve">019 CHEMAX </v>
          </cell>
          <cell r="C22">
            <v>1.4738321952015875E-2</v>
          </cell>
          <cell r="D22">
            <v>1.4196075335385555E-2</v>
          </cell>
          <cell r="E22">
            <v>2.6397183061667918E-2</v>
          </cell>
        </row>
        <row r="23">
          <cell r="A23">
            <v>20</v>
          </cell>
          <cell r="B23" t="str">
            <v xml:space="preserve">020 CHICXULUB PUEBLO </v>
          </cell>
          <cell r="C23">
            <v>4.0001956542344832E-3</v>
          </cell>
          <cell r="D23">
            <v>3.8808610531192622E-3</v>
          </cell>
          <cell r="E23">
            <v>6.2556337371772446E-3</v>
          </cell>
        </row>
        <row r="24">
          <cell r="A24">
            <v>21</v>
          </cell>
          <cell r="B24" t="str">
            <v xml:space="preserve">021 CHICHIMILA </v>
          </cell>
          <cell r="C24">
            <v>5.2877255586418065E-3</v>
          </cell>
          <cell r="D24">
            <v>5.3416743717662448E-3</v>
          </cell>
          <cell r="E24">
            <v>8.9127948946427765E-3</v>
          </cell>
        </row>
        <row r="25">
          <cell r="A25">
            <v>22</v>
          </cell>
          <cell r="B25" t="str">
            <v xml:space="preserve">022 CHIKINDZONOT </v>
          </cell>
          <cell r="C25">
            <v>3.9236950988868965E-3</v>
          </cell>
          <cell r="D25">
            <v>3.8501560201624073E-3</v>
          </cell>
          <cell r="E25">
            <v>0</v>
          </cell>
        </row>
        <row r="26">
          <cell r="A26">
            <v>23</v>
          </cell>
          <cell r="B26" t="str">
            <v xml:space="preserve">023 CHOCHOLA </v>
          </cell>
          <cell r="C26">
            <v>4.0512153751639558E-3</v>
          </cell>
          <cell r="D26">
            <v>3.9599323798676011E-3</v>
          </cell>
          <cell r="E26">
            <v>6.213714634670256E-3</v>
          </cell>
        </row>
        <row r="27">
          <cell r="A27">
            <v>24</v>
          </cell>
          <cell r="B27" t="str">
            <v xml:space="preserve">024 CHUMAYEL </v>
          </cell>
          <cell r="C27">
            <v>3.6268357791101103E-3</v>
          </cell>
          <cell r="D27">
            <v>3.5052296782582112E-3</v>
          </cell>
          <cell r="E27">
            <v>5.2741838635242382E-3</v>
          </cell>
        </row>
        <row r="28">
          <cell r="A28">
            <v>25</v>
          </cell>
          <cell r="B28" t="str">
            <v xml:space="preserve">025 DZAN </v>
          </cell>
          <cell r="C28">
            <v>4.2767092050516025E-3</v>
          </cell>
          <cell r="D28">
            <v>4.2852578287858878E-3</v>
          </cell>
          <cell r="E28">
            <v>6.8403193999192315E-3</v>
          </cell>
        </row>
        <row r="29">
          <cell r="A29">
            <v>26</v>
          </cell>
          <cell r="B29" t="str">
            <v xml:space="preserve">026 DZEMUL </v>
          </cell>
          <cell r="C29">
            <v>3.7937192076546115E-3</v>
          </cell>
          <cell r="D29">
            <v>3.7715566927678627E-3</v>
          </cell>
          <cell r="E29">
            <v>6.8499719494676467E-3</v>
          </cell>
        </row>
        <row r="30">
          <cell r="A30">
            <v>27</v>
          </cell>
          <cell r="B30" t="str">
            <v xml:space="preserve">027 DZIDZANTUN </v>
          </cell>
          <cell r="C30">
            <v>5.2008056771888998E-3</v>
          </cell>
          <cell r="D30">
            <v>5.0069440263414249E-3</v>
          </cell>
          <cell r="E30">
            <v>8.6862616479464021E-3</v>
          </cell>
        </row>
        <row r="31">
          <cell r="A31">
            <v>28</v>
          </cell>
          <cell r="B31" t="str">
            <v xml:space="preserve">028 DZILAM DE BRAVO </v>
          </cell>
          <cell r="C31">
            <v>3.425974615873528E-3</v>
          </cell>
          <cell r="D31">
            <v>3.3984412206376127E-3</v>
          </cell>
          <cell r="E31">
            <v>5.0779464963252603E-3</v>
          </cell>
        </row>
        <row r="32">
          <cell r="A32">
            <v>29</v>
          </cell>
          <cell r="B32" t="str">
            <v xml:space="preserve">029 DZILAM GONZALEZ </v>
          </cell>
          <cell r="C32">
            <v>4.4987698296677569E-3</v>
          </cell>
          <cell r="D32">
            <v>4.3479847304805728E-3</v>
          </cell>
          <cell r="E32">
            <v>6.9621627634029303E-3</v>
          </cell>
        </row>
        <row r="33">
          <cell r="A33">
            <v>30</v>
          </cell>
          <cell r="B33" t="str">
            <v xml:space="preserve">030 DZITAS </v>
          </cell>
          <cell r="C33">
            <v>3.7853707529560943E-3</v>
          </cell>
          <cell r="D33">
            <v>3.7455974376731909E-3</v>
          </cell>
          <cell r="E33">
            <v>5.7462423010503708E-3</v>
          </cell>
        </row>
        <row r="34">
          <cell r="A34">
            <v>31</v>
          </cell>
          <cell r="B34" t="str">
            <v xml:space="preserve">031 DZONCAUICH </v>
          </cell>
          <cell r="C34">
            <v>3.3985291713520089E-3</v>
          </cell>
          <cell r="D34">
            <v>3.3797163794644118E-3</v>
          </cell>
          <cell r="E34">
            <v>5.0281797925058463E-3</v>
          </cell>
        </row>
        <row r="35">
          <cell r="A35">
            <v>32</v>
          </cell>
          <cell r="B35" t="str">
            <v xml:space="preserve">032 ESPITA </v>
          </cell>
          <cell r="C35">
            <v>7.7916621970882793E-3</v>
          </cell>
          <cell r="D35">
            <v>7.4899726219143144E-3</v>
          </cell>
          <cell r="E35">
            <v>1.3273043149717955E-2</v>
          </cell>
        </row>
        <row r="36">
          <cell r="A36">
            <v>33</v>
          </cell>
          <cell r="B36" t="str">
            <v xml:space="preserve">033 HALACHO </v>
          </cell>
          <cell r="C36">
            <v>9.0675060772836616E-3</v>
          </cell>
          <cell r="D36">
            <v>8.8043221236272472E-3</v>
          </cell>
          <cell r="E36">
            <v>1.5849041346533362E-2</v>
          </cell>
        </row>
        <row r="37">
          <cell r="A37">
            <v>34</v>
          </cell>
          <cell r="B37" t="str">
            <v xml:space="preserve">034 HOCABA </v>
          </cell>
          <cell r="C37">
            <v>4.5299719060401707E-3</v>
          </cell>
          <cell r="D37">
            <v>4.4748524920413986E-3</v>
          </cell>
          <cell r="E37">
            <v>7.2023270452770856E-3</v>
          </cell>
        </row>
        <row r="38">
          <cell r="A38">
            <v>35</v>
          </cell>
          <cell r="B38" t="str">
            <v xml:space="preserve">035 HOCTUN </v>
          </cell>
          <cell r="C38">
            <v>4.4886691742844331E-3</v>
          </cell>
          <cell r="D38">
            <v>4.4180149461301842E-3</v>
          </cell>
          <cell r="E38">
            <v>0</v>
          </cell>
        </row>
        <row r="39">
          <cell r="A39">
            <v>36</v>
          </cell>
          <cell r="B39" t="str">
            <v xml:space="preserve">036 HOMUN </v>
          </cell>
          <cell r="C39">
            <v>5.0150300942488277E-3</v>
          </cell>
          <cell r="D39">
            <v>4.9138639581579151E-3</v>
          </cell>
          <cell r="E39">
            <v>8.0802918820867022E-3</v>
          </cell>
        </row>
        <row r="40">
          <cell r="A40">
            <v>37</v>
          </cell>
          <cell r="B40" t="str">
            <v xml:space="preserve">037 HUHI </v>
          </cell>
          <cell r="C40">
            <v>4.2350345756736541E-3</v>
          </cell>
          <cell r="D40">
            <v>4.075021479174816E-3</v>
          </cell>
          <cell r="E40">
            <v>0</v>
          </cell>
        </row>
        <row r="41">
          <cell r="A41">
            <v>38</v>
          </cell>
          <cell r="B41" t="str">
            <v xml:space="preserve">038 HUNUCMA </v>
          </cell>
          <cell r="C41">
            <v>1.3025757978712063E-2</v>
          </cell>
          <cell r="D41">
            <v>1.2847320545372558E-2</v>
          </cell>
          <cell r="E41">
            <v>2.4495491367326237E-2</v>
          </cell>
        </row>
        <row r="42">
          <cell r="A42">
            <v>39</v>
          </cell>
          <cell r="B42" t="str">
            <v xml:space="preserve">039 IXIL </v>
          </cell>
          <cell r="C42">
            <v>3.8561160046772149E-3</v>
          </cell>
          <cell r="D42">
            <v>3.7610490340298395E-3</v>
          </cell>
          <cell r="E42">
            <v>5.8132155410502801E-3</v>
          </cell>
        </row>
        <row r="43">
          <cell r="A43">
            <v>40</v>
          </cell>
          <cell r="B43" t="str">
            <v xml:space="preserve">040 IZAMAL </v>
          </cell>
          <cell r="C43">
            <v>1.1183924572482138E-2</v>
          </cell>
          <cell r="D43">
            <v>1.0854174179051598E-2</v>
          </cell>
          <cell r="E43">
            <v>2.019216178433203E-2</v>
          </cell>
        </row>
        <row r="44">
          <cell r="A44">
            <v>41</v>
          </cell>
          <cell r="B44" t="str">
            <v xml:space="preserve">041 KANASIN </v>
          </cell>
          <cell r="C44">
            <v>3.3604496930735091E-2</v>
          </cell>
          <cell r="D44">
            <v>4.3408977703107456E-2</v>
          </cell>
          <cell r="E44">
            <v>8.7970320308610309E-2</v>
          </cell>
        </row>
        <row r="45">
          <cell r="A45">
            <v>42</v>
          </cell>
          <cell r="B45" t="str">
            <v xml:space="preserve">042 KANTUNIL </v>
          </cell>
          <cell r="C45">
            <v>4.3110585359613764E-3</v>
          </cell>
          <cell r="D45">
            <v>4.1760845293070791E-3</v>
          </cell>
          <cell r="E45">
            <v>6.6118342888861039E-3</v>
          </cell>
        </row>
        <row r="46">
          <cell r="A46">
            <v>43</v>
          </cell>
          <cell r="B46" t="str">
            <v xml:space="preserve">043 KAUA </v>
          </cell>
          <cell r="C46">
            <v>3.5621161638284423E-3</v>
          </cell>
          <cell r="D46">
            <v>3.5492721800578384E-3</v>
          </cell>
          <cell r="E46">
            <v>0</v>
          </cell>
        </row>
        <row r="47">
          <cell r="A47">
            <v>44</v>
          </cell>
          <cell r="B47" t="str">
            <v xml:space="preserve">044 KINCHIL </v>
          </cell>
          <cell r="C47">
            <v>4.8679907802276091E-3</v>
          </cell>
          <cell r="D47">
            <v>4.745376717234206E-3</v>
          </cell>
          <cell r="E47">
            <v>7.7786366679214987E-3</v>
          </cell>
        </row>
        <row r="48">
          <cell r="A48">
            <v>45</v>
          </cell>
          <cell r="B48" t="str">
            <v xml:space="preserve">045 KOPOMA </v>
          </cell>
          <cell r="C48">
            <v>3.3563054098506447E-3</v>
          </cell>
          <cell r="D48">
            <v>3.3241771292421905E-3</v>
          </cell>
          <cell r="E48">
            <v>4.9278718237769307E-3</v>
          </cell>
        </row>
        <row r="49">
          <cell r="A49">
            <v>46</v>
          </cell>
          <cell r="B49" t="str">
            <v xml:space="preserve">046 MAMA </v>
          </cell>
          <cell r="C49">
            <v>3.58933216536537E-3</v>
          </cell>
          <cell r="D49">
            <v>3.5173522245748644E-3</v>
          </cell>
          <cell r="E49">
            <v>0</v>
          </cell>
        </row>
        <row r="50">
          <cell r="A50">
            <v>47</v>
          </cell>
          <cell r="B50" t="str">
            <v xml:space="preserve">047 MANI </v>
          </cell>
          <cell r="C50">
            <v>4.3768237533974583E-3</v>
          </cell>
          <cell r="D50">
            <v>4.3049029420256686E-3</v>
          </cell>
          <cell r="E50">
            <v>6.877300746206111E-3</v>
          </cell>
        </row>
        <row r="51">
          <cell r="A51">
            <v>48</v>
          </cell>
          <cell r="B51" t="str">
            <v xml:space="preserve">048 MAXCANU </v>
          </cell>
          <cell r="C51">
            <v>9.8842297893620354E-3</v>
          </cell>
          <cell r="D51">
            <v>9.5513436778567398E-3</v>
          </cell>
          <cell r="E51">
            <v>1.7398319799153128E-2</v>
          </cell>
        </row>
        <row r="52">
          <cell r="A52">
            <v>49</v>
          </cell>
          <cell r="B52" t="str">
            <v xml:space="preserve">049 MAYAPAN </v>
          </cell>
          <cell r="C52">
            <v>3.7824105451098188E-3</v>
          </cell>
          <cell r="D52">
            <v>3.7474180820030547E-3</v>
          </cell>
          <cell r="E52">
            <v>5.7387872638197997E-3</v>
          </cell>
        </row>
        <row r="53">
          <cell r="A53">
            <v>50</v>
          </cell>
          <cell r="B53" t="str">
            <v xml:space="preserve">050 MERIDA </v>
          </cell>
          <cell r="C53">
            <v>0.33705653400667607</v>
          </cell>
          <cell r="D53">
            <v>0.33904347429356796</v>
          </cell>
          <cell r="E53">
            <v>0</v>
          </cell>
        </row>
        <row r="54">
          <cell r="A54">
            <v>51</v>
          </cell>
          <cell r="B54" t="str">
            <v xml:space="preserve">051 MOCOCHA </v>
          </cell>
          <cell r="C54">
            <v>3.5829343674423065E-3</v>
          </cell>
          <cell r="D54">
            <v>3.5428225464555919E-3</v>
          </cell>
          <cell r="E54">
            <v>0</v>
          </cell>
        </row>
        <row r="55">
          <cell r="A55">
            <v>52</v>
          </cell>
          <cell r="B55" t="str">
            <v xml:space="preserve">052 MOTUL </v>
          </cell>
          <cell r="C55">
            <v>1.4251675894912181E-2</v>
          </cell>
          <cell r="D55">
            <v>1.3725281711995694E-2</v>
          </cell>
          <cell r="E55">
            <v>2.7209372769192622E-2</v>
          </cell>
        </row>
        <row r="56">
          <cell r="A56">
            <v>53</v>
          </cell>
          <cell r="B56" t="str">
            <v xml:space="preserve">053 MUNA </v>
          </cell>
          <cell r="C56">
            <v>6.6298233851658228E-3</v>
          </cell>
          <cell r="D56">
            <v>6.4591103186700163E-3</v>
          </cell>
          <cell r="E56">
            <v>1.1249566977963539E-2</v>
          </cell>
        </row>
        <row r="57">
          <cell r="A57">
            <v>54</v>
          </cell>
          <cell r="B57" t="str">
            <v xml:space="preserve">054 MUXUPIP </v>
          </cell>
          <cell r="C57">
            <v>3.4609462967511791E-3</v>
          </cell>
          <cell r="D57">
            <v>3.419641378123269E-3</v>
          </cell>
          <cell r="E57">
            <v>5.1234819103791341E-3</v>
          </cell>
        </row>
        <row r="58">
          <cell r="A58">
            <v>55</v>
          </cell>
          <cell r="B58" t="str">
            <v xml:space="preserve">055 OPICHEN </v>
          </cell>
          <cell r="C58">
            <v>4.7404555719887829E-3</v>
          </cell>
          <cell r="D58">
            <v>4.6142671300063486E-3</v>
          </cell>
          <cell r="E58">
            <v>0</v>
          </cell>
        </row>
        <row r="59">
          <cell r="A59">
            <v>56</v>
          </cell>
          <cell r="B59" t="str">
            <v xml:space="preserve">056 OXKUTZCAB </v>
          </cell>
          <cell r="C59">
            <v>1.2745413881325458E-2</v>
          </cell>
          <cell r="D59">
            <v>1.2531246166120859E-2</v>
          </cell>
          <cell r="E59">
            <v>0</v>
          </cell>
        </row>
        <row r="60">
          <cell r="A60">
            <v>57</v>
          </cell>
          <cell r="B60" t="str">
            <v xml:space="preserve">057 PANABA </v>
          </cell>
          <cell r="C60">
            <v>5.0746629527073815E-3</v>
          </cell>
          <cell r="D60">
            <v>4.8275807147029857E-3</v>
          </cell>
          <cell r="E60">
            <v>8.0796274923325001E-3</v>
          </cell>
        </row>
        <row r="61">
          <cell r="A61">
            <v>58</v>
          </cell>
          <cell r="B61" t="str">
            <v xml:space="preserve">058 PETO </v>
          </cell>
          <cell r="C61">
            <v>1.0741590132837039E-2</v>
          </cell>
          <cell r="D61">
            <v>1.019197374226203E-2</v>
          </cell>
          <cell r="E61">
            <v>1.8986936387767613E-2</v>
          </cell>
        </row>
        <row r="62">
          <cell r="A62">
            <v>59</v>
          </cell>
          <cell r="B62" t="str">
            <v xml:space="preserve">059 PROGRESO </v>
          </cell>
          <cell r="C62">
            <v>2.4439603323307642E-2</v>
          </cell>
          <cell r="D62">
            <v>2.4467148404639233E-2</v>
          </cell>
          <cell r="E62">
            <v>6.5597331804019637E-2</v>
          </cell>
        </row>
        <row r="63">
          <cell r="A63">
            <v>60</v>
          </cell>
          <cell r="B63" t="str">
            <v xml:space="preserve">060 QUINTANA ROO </v>
          </cell>
          <cell r="C63">
            <v>2.8574148745251142E-3</v>
          </cell>
          <cell r="D63">
            <v>2.8325314298686143E-3</v>
          </cell>
          <cell r="E63">
            <v>3.9446347509853987E-3</v>
          </cell>
        </row>
        <row r="64">
          <cell r="A64">
            <v>61</v>
          </cell>
          <cell r="B64" t="str">
            <v xml:space="preserve">061 RIO LAGARTOS </v>
          </cell>
          <cell r="C64">
            <v>3.6778461021653428E-3</v>
          </cell>
          <cell r="D64">
            <v>3.7168623980903346E-3</v>
          </cell>
          <cell r="E64">
            <v>0</v>
          </cell>
        </row>
        <row r="65">
          <cell r="A65">
            <v>62</v>
          </cell>
          <cell r="B65" t="str">
            <v xml:space="preserve">062 SACALUM </v>
          </cell>
          <cell r="C65">
            <v>4.1015305834309112E-3</v>
          </cell>
          <cell r="D65">
            <v>3.9958477968843956E-3</v>
          </cell>
          <cell r="E65">
            <v>6.2791629372992829E-3</v>
          </cell>
        </row>
        <row r="66">
          <cell r="A66">
            <v>63</v>
          </cell>
          <cell r="B66" t="str">
            <v xml:space="preserve">063 SAMAHIL </v>
          </cell>
          <cell r="C66">
            <v>4.1958992899893575E-3</v>
          </cell>
          <cell r="D66">
            <v>4.1910588863807085E-3</v>
          </cell>
          <cell r="E66">
            <v>6.6648688607622289E-3</v>
          </cell>
        </row>
        <row r="67">
          <cell r="A67">
            <v>64</v>
          </cell>
          <cell r="B67" t="str">
            <v xml:space="preserve">064 SANAHCAT </v>
          </cell>
          <cell r="C67">
            <v>3.0860424362317983E-3</v>
          </cell>
          <cell r="D67">
            <v>3.0424097464068615E-3</v>
          </cell>
          <cell r="E67">
            <v>4.3594005985264986E-3</v>
          </cell>
        </row>
        <row r="68">
          <cell r="A68">
            <v>65</v>
          </cell>
          <cell r="B68" t="str">
            <v xml:space="preserve">065 SAN FELIPE </v>
          </cell>
          <cell r="C68">
            <v>3.1713796751159365E-3</v>
          </cell>
          <cell r="D68">
            <v>3.1603348347452893E-3</v>
          </cell>
          <cell r="E68">
            <v>0</v>
          </cell>
        </row>
        <row r="69">
          <cell r="A69">
            <v>66</v>
          </cell>
          <cell r="B69" t="str">
            <v xml:space="preserve">066 SANTA ELENA </v>
          </cell>
          <cell r="C69">
            <v>3.8675433786785635E-3</v>
          </cell>
          <cell r="D69">
            <v>3.8053946474045459E-3</v>
          </cell>
          <cell r="E69">
            <v>5.9682270368826215E-3</v>
          </cell>
        </row>
        <row r="70">
          <cell r="A70">
            <v>67</v>
          </cell>
          <cell r="B70" t="str">
            <v xml:space="preserve">067 SEYE </v>
          </cell>
          <cell r="C70">
            <v>5.6581494092280832E-3</v>
          </cell>
          <cell r="D70">
            <v>5.4609080350088851E-3</v>
          </cell>
          <cell r="E70">
            <v>0</v>
          </cell>
        </row>
        <row r="71">
          <cell r="A71">
            <v>68</v>
          </cell>
          <cell r="B71" t="str">
            <v xml:space="preserve">068 SINANCHE </v>
          </cell>
          <cell r="C71">
            <v>3.5688841600368189E-3</v>
          </cell>
          <cell r="D71">
            <v>3.5820105024139438E-3</v>
          </cell>
          <cell r="E71">
            <v>0</v>
          </cell>
        </row>
        <row r="72">
          <cell r="A72">
            <v>69</v>
          </cell>
          <cell r="B72" t="str">
            <v xml:space="preserve">069 SOTUTA </v>
          </cell>
          <cell r="C72">
            <v>5.4340354449946959E-3</v>
          </cell>
          <cell r="D72">
            <v>5.1832804506456633E-3</v>
          </cell>
          <cell r="E72">
            <v>8.6137093305908262E-3</v>
          </cell>
        </row>
        <row r="73">
          <cell r="A73">
            <v>70</v>
          </cell>
          <cell r="B73" t="str">
            <v xml:space="preserve">070 SUCILA </v>
          </cell>
          <cell r="C73">
            <v>3.8313595678325157E-3</v>
          </cell>
          <cell r="D73">
            <v>3.7267298387320329E-3</v>
          </cell>
          <cell r="E73">
            <v>5.8889059433170927E-3</v>
          </cell>
        </row>
        <row r="74">
          <cell r="A74">
            <v>71</v>
          </cell>
          <cell r="B74" t="str">
            <v xml:space="preserve">071 SUDZAL </v>
          </cell>
          <cell r="C74">
            <v>3.0996233637857929E-3</v>
          </cell>
          <cell r="D74">
            <v>3.1206515544921964E-3</v>
          </cell>
          <cell r="E74">
            <v>4.5171210344342409E-3</v>
          </cell>
        </row>
        <row r="75">
          <cell r="A75">
            <v>72</v>
          </cell>
          <cell r="B75" t="str">
            <v xml:space="preserve">072 SUMA </v>
          </cell>
          <cell r="C75">
            <v>3.1118878221700623E-3</v>
          </cell>
          <cell r="D75">
            <v>3.086610042980767E-3</v>
          </cell>
          <cell r="E75">
            <v>4.468961085671244E-3</v>
          </cell>
        </row>
        <row r="76">
          <cell r="A76">
            <v>73</v>
          </cell>
          <cell r="B76" t="str">
            <v xml:space="preserve">073 TAHDZIU </v>
          </cell>
          <cell r="C76">
            <v>4.2257580223420011E-3</v>
          </cell>
          <cell r="D76">
            <v>4.2921099074001816E-3</v>
          </cell>
          <cell r="E76">
            <v>6.824016856397561E-3</v>
          </cell>
        </row>
        <row r="77">
          <cell r="A77">
            <v>74</v>
          </cell>
          <cell r="B77" t="str">
            <v xml:space="preserve">074 TAHMEK </v>
          </cell>
          <cell r="C77">
            <v>3.7232434479294988E-3</v>
          </cell>
          <cell r="D77">
            <v>3.6527663976576585E-3</v>
          </cell>
          <cell r="E77">
            <v>0</v>
          </cell>
        </row>
        <row r="78">
          <cell r="A78">
            <v>75</v>
          </cell>
          <cell r="B78" t="str">
            <v xml:space="preserve">075 TEABO </v>
          </cell>
          <cell r="C78">
            <v>4.6766653614985082E-3</v>
          </cell>
          <cell r="D78">
            <v>4.5982316740758892E-3</v>
          </cell>
          <cell r="E78">
            <v>7.4431083470826408E-3</v>
          </cell>
        </row>
        <row r="79">
          <cell r="A79">
            <v>76</v>
          </cell>
          <cell r="B79" t="str">
            <v xml:space="preserve">076 TECOH </v>
          </cell>
          <cell r="C79">
            <v>8.2343217967206922E-3</v>
          </cell>
          <cell r="D79">
            <v>7.8049974320649326E-3</v>
          </cell>
          <cell r="E79">
            <v>1.3879754559064379E-2</v>
          </cell>
        </row>
        <row r="80">
          <cell r="A80">
            <v>77</v>
          </cell>
          <cell r="B80" t="str">
            <v xml:space="preserve">077 TEKAL DE VENEGAS </v>
          </cell>
          <cell r="C80">
            <v>3.395867580266014E-3</v>
          </cell>
          <cell r="D80">
            <v>3.3424669693979795E-3</v>
          </cell>
          <cell r="E80">
            <v>0</v>
          </cell>
        </row>
        <row r="81">
          <cell r="A81">
            <v>78</v>
          </cell>
          <cell r="B81" t="str">
            <v xml:space="preserve">078 TEKANTO </v>
          </cell>
          <cell r="C81">
            <v>3.7710051186229769E-3</v>
          </cell>
          <cell r="D81">
            <v>3.6502362979324143E-3</v>
          </cell>
          <cell r="E81">
            <v>5.5966159184575462E-3</v>
          </cell>
        </row>
        <row r="82">
          <cell r="A82">
            <v>79</v>
          </cell>
          <cell r="B82" t="str">
            <v xml:space="preserve">079 TEKAX </v>
          </cell>
          <cell r="C82">
            <v>1.6210595132961757E-2</v>
          </cell>
          <cell r="D82">
            <v>1.5743138748336789E-2</v>
          </cell>
          <cell r="E82">
            <v>3.0041102749438404E-2</v>
          </cell>
        </row>
        <row r="83">
          <cell r="A83">
            <v>80</v>
          </cell>
          <cell r="B83" t="str">
            <v xml:space="preserve">080 TEKIT </v>
          </cell>
          <cell r="C83">
            <v>5.8480562608952298E-3</v>
          </cell>
          <cell r="D83">
            <v>5.755369550474722E-3</v>
          </cell>
          <cell r="E83">
            <v>9.7857107376445266E-3</v>
          </cell>
        </row>
        <row r="84">
          <cell r="A84">
            <v>81</v>
          </cell>
          <cell r="B84" t="str">
            <v xml:space="preserve">081 TEKOM </v>
          </cell>
          <cell r="C84">
            <v>3.5960433331928164E-3</v>
          </cell>
          <cell r="D84">
            <v>3.539922476730511E-3</v>
          </cell>
          <cell r="E84">
            <v>5.3442424007343189E-3</v>
          </cell>
        </row>
        <row r="85">
          <cell r="A85">
            <v>82</v>
          </cell>
          <cell r="B85" t="str">
            <v xml:space="preserve">082 TELCHAC PUEBLO </v>
          </cell>
          <cell r="C85">
            <v>3.7283978263685895E-3</v>
          </cell>
          <cell r="D85">
            <v>3.5622050446331897E-3</v>
          </cell>
          <cell r="E85">
            <v>5.4025504933165628E-3</v>
          </cell>
        </row>
        <row r="86">
          <cell r="A86">
            <v>83</v>
          </cell>
          <cell r="B86" t="str">
            <v xml:space="preserve">083 TELCHAC PUERTO   </v>
          </cell>
          <cell r="C86">
            <v>3.256208248544576E-3</v>
          </cell>
          <cell r="D86">
            <v>3.2575591633448361E-3</v>
          </cell>
          <cell r="E86">
            <v>0</v>
          </cell>
        </row>
        <row r="87">
          <cell r="A87">
            <v>84</v>
          </cell>
          <cell r="B87" t="str">
            <v xml:space="preserve">084 TEMAX </v>
          </cell>
          <cell r="C87">
            <v>4.8695260425900859E-3</v>
          </cell>
          <cell r="D87">
            <v>4.6028876864204708E-3</v>
          </cell>
          <cell r="E87">
            <v>7.4633914077128667E-3</v>
          </cell>
        </row>
        <row r="88">
          <cell r="A88">
            <v>85</v>
          </cell>
          <cell r="B88" t="str">
            <v xml:space="preserve">085 TEMOZON </v>
          </cell>
          <cell r="C88">
            <v>7.6138120623350652E-3</v>
          </cell>
          <cell r="D88">
            <v>7.4660395522271406E-3</v>
          </cell>
          <cell r="E88">
            <v>1.3170178133047983E-2</v>
          </cell>
        </row>
        <row r="89">
          <cell r="A89">
            <v>86</v>
          </cell>
          <cell r="B89" t="str">
            <v xml:space="preserve">086 TEPAKAN </v>
          </cell>
          <cell r="C89">
            <v>3.2406889571463589E-3</v>
          </cell>
          <cell r="D89">
            <v>3.1796650856099323E-3</v>
          </cell>
          <cell r="E89">
            <v>4.630897314372444E-3</v>
          </cell>
        </row>
        <row r="90">
          <cell r="A90">
            <v>87</v>
          </cell>
          <cell r="B90" t="str">
            <v xml:space="preserve">087 TETIZ </v>
          </cell>
          <cell r="C90">
            <v>4.2216339350660886E-3</v>
          </cell>
          <cell r="D90">
            <v>4.1620296596096753E-3</v>
          </cell>
          <cell r="E90">
            <v>6.5781579126886463E-3</v>
          </cell>
        </row>
        <row r="91">
          <cell r="A91">
            <v>88</v>
          </cell>
          <cell r="B91" t="str">
            <v xml:space="preserve">088 TEYA </v>
          </cell>
          <cell r="C91">
            <v>3.163881947301338E-3</v>
          </cell>
          <cell r="D91">
            <v>3.1099955356159738E-3</v>
          </cell>
          <cell r="E91">
            <v>4.4963314691949894E-3</v>
          </cell>
        </row>
        <row r="92">
          <cell r="A92">
            <v>89</v>
          </cell>
          <cell r="B92" t="str">
            <v xml:space="preserve">089 TICUL </v>
          </cell>
          <cell r="C92">
            <v>1.5436875763813127E-2</v>
          </cell>
          <cell r="D92">
            <v>1.4350476523931014E-2</v>
          </cell>
          <cell r="E92">
            <v>2.7814713897524757E-2</v>
          </cell>
        </row>
        <row r="93">
          <cell r="A93">
            <v>90</v>
          </cell>
          <cell r="B93" t="str">
            <v xml:space="preserve">090 TIMUCUY </v>
          </cell>
          <cell r="C93">
            <v>4.9421029535170417E-3</v>
          </cell>
          <cell r="D93">
            <v>4.7562182476601992E-3</v>
          </cell>
          <cell r="E93">
            <v>7.763449888713604E-3</v>
          </cell>
        </row>
        <row r="94">
          <cell r="A94">
            <v>91</v>
          </cell>
          <cell r="B94" t="str">
            <v xml:space="preserve">091 TINUM </v>
          </cell>
          <cell r="C94">
            <v>6.4311927287178236E-3</v>
          </cell>
          <cell r="D94">
            <v>6.2590485580538719E-3</v>
          </cell>
          <cell r="E94">
            <v>0</v>
          </cell>
        </row>
        <row r="95">
          <cell r="A95">
            <v>92</v>
          </cell>
          <cell r="B95" t="str">
            <v xml:space="preserve">092 TIXCACALCUPUL </v>
          </cell>
          <cell r="C95">
            <v>4.9151286553447276E-3</v>
          </cell>
          <cell r="D95">
            <v>4.9052182617850149E-3</v>
          </cell>
          <cell r="E95">
            <v>8.0366301893040545E-3</v>
          </cell>
        </row>
        <row r="96">
          <cell r="A96">
            <v>93</v>
          </cell>
          <cell r="B96" t="str">
            <v xml:space="preserve">093 TIXKOKOB </v>
          </cell>
          <cell r="C96">
            <v>8.1790859214692872E-3</v>
          </cell>
          <cell r="D96">
            <v>7.8311010272548234E-3</v>
          </cell>
          <cell r="E96">
            <v>0</v>
          </cell>
        </row>
        <row r="97">
          <cell r="A97">
            <v>94</v>
          </cell>
          <cell r="B97" t="str">
            <v xml:space="preserve">094 TIXMEUAC </v>
          </cell>
          <cell r="C97">
            <v>4.1257220685013843E-3</v>
          </cell>
          <cell r="D97">
            <v>4.1625745543779754E-3</v>
          </cell>
          <cell r="E97">
            <v>0</v>
          </cell>
        </row>
        <row r="98">
          <cell r="A98">
            <v>95</v>
          </cell>
          <cell r="B98" t="str">
            <v xml:space="preserve">095 TIXPEUAL </v>
          </cell>
          <cell r="C98">
            <v>4.2923664658269843E-3</v>
          </cell>
          <cell r="D98">
            <v>4.2062475917843626E-3</v>
          </cell>
          <cell r="E98">
            <v>6.755343701989493E-3</v>
          </cell>
        </row>
        <row r="99">
          <cell r="A99">
            <v>96</v>
          </cell>
          <cell r="B99" t="str">
            <v xml:space="preserve">096 TIZIMIN </v>
          </cell>
          <cell r="C99">
            <v>2.8131308552322733E-2</v>
          </cell>
          <cell r="D99">
            <v>2.6664606463051195E-2</v>
          </cell>
          <cell r="E99">
            <v>5.4729414367061635E-2</v>
          </cell>
        </row>
        <row r="100">
          <cell r="A100">
            <v>97</v>
          </cell>
          <cell r="B100" t="str">
            <v xml:space="preserve">097 TUNKAS </v>
          </cell>
          <cell r="C100">
            <v>3.6944359178672803E-3</v>
          </cell>
          <cell r="D100">
            <v>3.6359065871828127E-3</v>
          </cell>
          <cell r="E100">
            <v>5.5493642286137592E-3</v>
          </cell>
        </row>
        <row r="101">
          <cell r="A101">
            <v>98</v>
          </cell>
          <cell r="B101" t="str">
            <v xml:space="preserve">098 TZUCACAB </v>
          </cell>
          <cell r="C101">
            <v>7.3212359601585947E-3</v>
          </cell>
          <cell r="D101">
            <v>7.02902090279165E-3</v>
          </cell>
          <cell r="E101">
            <v>1.2298688621390188E-2</v>
          </cell>
        </row>
        <row r="102">
          <cell r="A102">
            <v>99</v>
          </cell>
          <cell r="B102" t="str">
            <v xml:space="preserve">099 UAYMA </v>
          </cell>
          <cell r="C102">
            <v>3.8740696979547222E-3</v>
          </cell>
          <cell r="D102">
            <v>3.7950045699399536E-3</v>
          </cell>
          <cell r="E102">
            <v>5.8432798924791078E-3</v>
          </cell>
        </row>
        <row r="103">
          <cell r="A103">
            <v>100</v>
          </cell>
          <cell r="B103" t="str">
            <v xml:space="preserve">100 UCU </v>
          </cell>
          <cell r="C103">
            <v>3.7613700816234667E-3</v>
          </cell>
          <cell r="D103">
            <v>3.7417818918051935E-3</v>
          </cell>
          <cell r="E103">
            <v>0</v>
          </cell>
        </row>
        <row r="104">
          <cell r="A104">
            <v>101</v>
          </cell>
          <cell r="B104" t="str">
            <v xml:space="preserve">101 UMAN </v>
          </cell>
          <cell r="C104">
            <v>2.1197621970998306E-2</v>
          </cell>
          <cell r="D104">
            <v>2.3406436336158215E-2</v>
          </cell>
          <cell r="E104">
            <v>5.1492957767654543E-2</v>
          </cell>
        </row>
        <row r="105">
          <cell r="A105">
            <v>102</v>
          </cell>
          <cell r="B105" t="str">
            <v xml:space="preserve">102 VALLADOLID </v>
          </cell>
          <cell r="C105">
            <v>2.9651081016494128E-2</v>
          </cell>
          <cell r="D105">
            <v>2.8537764171828517E-2</v>
          </cell>
          <cell r="E105">
            <v>6.2228073513067757E-2</v>
          </cell>
        </row>
        <row r="106">
          <cell r="A106">
            <v>103</v>
          </cell>
          <cell r="B106" t="str">
            <v xml:space="preserve">103 XOCCHEL </v>
          </cell>
          <cell r="C106">
            <v>3.6734678216302791E-3</v>
          </cell>
          <cell r="D106">
            <v>3.5664114824015278E-3</v>
          </cell>
          <cell r="E106">
            <v>5.40389677914973E-3</v>
          </cell>
        </row>
        <row r="107">
          <cell r="A107">
            <v>104</v>
          </cell>
          <cell r="B107" t="str">
            <v xml:space="preserve">104 YAXCABA </v>
          </cell>
          <cell r="C107">
            <v>7.5396177221026322E-3</v>
          </cell>
          <cell r="D107">
            <v>7.4268718909920378E-3</v>
          </cell>
          <cell r="E107">
            <v>1.3037118429443238E-2</v>
          </cell>
        </row>
        <row r="108">
          <cell r="A108">
            <v>105</v>
          </cell>
          <cell r="B108" t="str">
            <v xml:space="preserve">105 YAXKUKUL </v>
          </cell>
          <cell r="C108">
            <v>3.5560102387610089E-3</v>
          </cell>
          <cell r="D108">
            <v>3.5079132105321365E-3</v>
          </cell>
          <cell r="E108">
            <v>0</v>
          </cell>
        </row>
        <row r="109">
          <cell r="A109">
            <v>106</v>
          </cell>
          <cell r="B109" t="str">
            <v xml:space="preserve">106 YOBAIN </v>
          </cell>
          <cell r="C109">
            <v>3.2919592195428506E-3</v>
          </cell>
          <cell r="D109">
            <v>3.2062450162764831E-3</v>
          </cell>
          <cell r="E109">
            <v>4.784400667280953E-3</v>
          </cell>
        </row>
        <row r="114">
          <cell r="B114" t="str">
            <v xml:space="preserve">001 ABALA </v>
          </cell>
        </row>
        <row r="115">
          <cell r="B115" t="str">
            <v xml:space="preserve">002 ACANCEH </v>
          </cell>
        </row>
        <row r="116">
          <cell r="B116" t="str">
            <v xml:space="preserve">004 BACA </v>
          </cell>
        </row>
        <row r="117">
          <cell r="B117" t="str">
            <v xml:space="preserve">012 CENOTILLO </v>
          </cell>
        </row>
        <row r="118">
          <cell r="B118" t="str">
            <v xml:space="preserve">014 CUNCUNUL </v>
          </cell>
        </row>
        <row r="119">
          <cell r="B119" t="str">
            <v xml:space="preserve">022 CHIKINDZONOT </v>
          </cell>
        </row>
        <row r="120">
          <cell r="B120" t="str">
            <v xml:space="preserve">035 HOCTUN </v>
          </cell>
        </row>
        <row r="121">
          <cell r="B121" t="str">
            <v xml:space="preserve">037 HUHI </v>
          </cell>
        </row>
        <row r="122">
          <cell r="B122" t="str">
            <v xml:space="preserve">043 KAUA </v>
          </cell>
        </row>
        <row r="123">
          <cell r="B123" t="str">
            <v xml:space="preserve">046 MAMA </v>
          </cell>
        </row>
        <row r="124">
          <cell r="B124" t="str">
            <v xml:space="preserve">050 MERIDA </v>
          </cell>
        </row>
        <row r="125">
          <cell r="B125" t="str">
            <v xml:space="preserve">051 MOCOCHA </v>
          </cell>
        </row>
        <row r="126">
          <cell r="B126" t="str">
            <v xml:space="preserve">055 OPICHEN </v>
          </cell>
        </row>
        <row r="127">
          <cell r="B127" t="str">
            <v xml:space="preserve">056 OXKUTZCAB </v>
          </cell>
        </row>
        <row r="128">
          <cell r="B128" t="str">
            <v xml:space="preserve">061 RIO LAGARTOS </v>
          </cell>
        </row>
        <row r="129">
          <cell r="B129" t="str">
            <v xml:space="preserve">065 SAN FELIPE </v>
          </cell>
        </row>
        <row r="130">
          <cell r="B130" t="str">
            <v xml:space="preserve">067 SEYE </v>
          </cell>
        </row>
        <row r="131">
          <cell r="B131" t="str">
            <v xml:space="preserve">068 SINANCHE </v>
          </cell>
        </row>
        <row r="132">
          <cell r="B132" t="str">
            <v xml:space="preserve">074 TAHMEK </v>
          </cell>
        </row>
        <row r="133">
          <cell r="B133" t="str">
            <v xml:space="preserve">077 TEKAL DE VENEGAS </v>
          </cell>
        </row>
        <row r="134">
          <cell r="B134" t="str">
            <v xml:space="preserve">083 TELCHAC PUERTO   </v>
          </cell>
        </row>
        <row r="135">
          <cell r="B135" t="str">
            <v xml:space="preserve">091 TINUM </v>
          </cell>
        </row>
        <row r="136">
          <cell r="B136" t="str">
            <v xml:space="preserve">093 TIXKOKOB </v>
          </cell>
        </row>
        <row r="137">
          <cell r="B137" t="str">
            <v xml:space="preserve">094 TIXMEUAC </v>
          </cell>
        </row>
        <row r="138">
          <cell r="B138" t="str">
            <v xml:space="preserve">100 UCU </v>
          </cell>
        </row>
        <row r="139">
          <cell r="B139" t="str">
            <v xml:space="preserve">105 YAXKUKUL 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18"/>
  <sheetViews>
    <sheetView topLeftCell="G1" zoomScale="85" zoomScaleNormal="85" workbookViewId="0">
      <selection activeCell="Q121" sqref="Q121"/>
    </sheetView>
  </sheetViews>
  <sheetFormatPr baseColWidth="10" defaultColWidth="10.85546875" defaultRowHeight="12.75" x14ac:dyDescent="0.2"/>
  <cols>
    <col min="1" max="1" width="10.85546875" style="85"/>
    <col min="2" max="2" width="10.140625" style="85" customWidth="1"/>
    <col min="3" max="3" width="64.5703125" style="85" bestFit="1" customWidth="1"/>
    <col min="4" max="4" width="13.85546875" style="85" bestFit="1" customWidth="1"/>
    <col min="5" max="5" width="20" style="85" bestFit="1" customWidth="1"/>
    <col min="6" max="6" width="13.85546875" style="85" bestFit="1" customWidth="1"/>
    <col min="7" max="7" width="17.85546875" style="85" bestFit="1" customWidth="1"/>
    <col min="8" max="8" width="13.85546875" style="85" bestFit="1" customWidth="1"/>
    <col min="9" max="9" width="14.7109375" style="85" bestFit="1" customWidth="1"/>
    <col min="10" max="10" width="13.85546875" style="85" bestFit="1" customWidth="1"/>
    <col min="11" max="11" width="15.85546875" style="85" bestFit="1" customWidth="1"/>
    <col min="12" max="12" width="13.85546875" style="85" bestFit="1" customWidth="1"/>
    <col min="13" max="13" width="13.5703125" style="85" bestFit="1" customWidth="1"/>
    <col min="14" max="14" width="13.85546875" style="85" bestFit="1" customWidth="1"/>
    <col min="15" max="15" width="15.85546875" style="85" bestFit="1" customWidth="1"/>
    <col min="16" max="16" width="13.85546875" style="85" bestFit="1" customWidth="1"/>
    <col min="17" max="17" width="14.7109375" style="85" bestFit="1" customWidth="1"/>
    <col min="18" max="18" width="13.85546875" style="85" bestFit="1" customWidth="1"/>
    <col min="19" max="19" width="14.7109375" style="85" bestFit="1" customWidth="1"/>
    <col min="20" max="20" width="13.85546875" style="85" bestFit="1" customWidth="1"/>
    <col min="21" max="21" width="14" style="85" bestFit="1" customWidth="1"/>
    <col min="22" max="22" width="13.85546875" style="85" bestFit="1" customWidth="1"/>
    <col min="23" max="23" width="23.42578125" style="85" customWidth="1"/>
    <col min="24" max="24" width="14" style="85" customWidth="1"/>
    <col min="25" max="25" width="22.140625" style="85" bestFit="1" customWidth="1"/>
    <col min="26" max="26" width="17.7109375" style="85" hidden="1" customWidth="1"/>
    <col min="27" max="27" width="24.85546875" style="85" hidden="1" customWidth="1"/>
    <col min="28" max="28" width="15.7109375" style="85" customWidth="1"/>
    <col min="29" max="29" width="13.7109375" style="85" bestFit="1" customWidth="1"/>
    <col min="30" max="30" width="20.85546875" style="85" hidden="1" customWidth="1"/>
    <col min="31" max="31" width="0" style="85" hidden="1" customWidth="1"/>
    <col min="32" max="16384" width="10.85546875" style="85"/>
  </cols>
  <sheetData>
    <row r="1" spans="1:68" ht="16.5" thickBot="1" x14ac:dyDescent="0.3">
      <c r="C1" s="86" t="s">
        <v>347</v>
      </c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</row>
    <row r="2" spans="1:68" ht="15.75" x14ac:dyDescent="0.25">
      <c r="C2" s="86" t="s">
        <v>348</v>
      </c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P2" s="87" t="s">
        <v>349</v>
      </c>
      <c r="AQ2" s="88"/>
      <c r="AR2" s="87" t="s">
        <v>350</v>
      </c>
      <c r="AS2" s="88"/>
      <c r="AT2" s="87" t="s">
        <v>351</v>
      </c>
      <c r="AU2" s="88"/>
      <c r="AV2" s="87" t="s">
        <v>352</v>
      </c>
      <c r="AW2" s="88"/>
      <c r="AX2" s="87" t="s">
        <v>353</v>
      </c>
      <c r="AY2" s="88"/>
      <c r="AZ2" s="87" t="s">
        <v>354</v>
      </c>
      <c r="BA2" s="88"/>
      <c r="BB2" s="87" t="s">
        <v>355</v>
      </c>
      <c r="BC2" s="88"/>
      <c r="BD2" s="87" t="s">
        <v>356</v>
      </c>
      <c r="BE2" s="88"/>
      <c r="BF2" s="87" t="s">
        <v>357</v>
      </c>
      <c r="BG2" s="88"/>
      <c r="BH2" s="89" t="s">
        <v>358</v>
      </c>
      <c r="BI2" s="90"/>
      <c r="BJ2" s="87" t="s">
        <v>359</v>
      </c>
      <c r="BK2" s="91"/>
    </row>
    <row r="3" spans="1:68" ht="13.5" thickBot="1" x14ac:dyDescent="0.25"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AP3" s="93" t="s">
        <v>360</v>
      </c>
      <c r="AQ3" s="94"/>
      <c r="AR3" s="93"/>
      <c r="AS3" s="94"/>
      <c r="AT3" s="93" t="s">
        <v>361</v>
      </c>
      <c r="AU3" s="94"/>
      <c r="AV3" s="93" t="s">
        <v>362</v>
      </c>
      <c r="AW3" s="94"/>
      <c r="AX3" s="93" t="s">
        <v>356</v>
      </c>
      <c r="AY3" s="94"/>
      <c r="AZ3" s="93" t="s">
        <v>363</v>
      </c>
      <c r="BA3" s="94"/>
      <c r="BB3" s="95" t="s">
        <v>364</v>
      </c>
      <c r="BC3" s="96"/>
      <c r="BD3" s="93"/>
      <c r="BE3" s="94"/>
      <c r="BF3" s="93"/>
      <c r="BG3" s="94"/>
      <c r="BH3" s="93"/>
      <c r="BI3" s="94"/>
      <c r="BJ3" s="93" t="s">
        <v>365</v>
      </c>
      <c r="BK3" s="97"/>
    </row>
    <row r="4" spans="1:68" ht="18.75" thickTop="1" x14ac:dyDescent="0.2">
      <c r="A4" s="98"/>
      <c r="B4" s="99" t="s">
        <v>366</v>
      </c>
      <c r="C4" s="100" t="s">
        <v>367</v>
      </c>
      <c r="D4" s="101" t="s">
        <v>349</v>
      </c>
      <c r="E4" s="102"/>
      <c r="F4" s="101" t="s">
        <v>350</v>
      </c>
      <c r="G4" s="102"/>
      <c r="H4" s="101" t="s">
        <v>351</v>
      </c>
      <c r="I4" s="102"/>
      <c r="J4" s="101" t="s">
        <v>352</v>
      </c>
      <c r="K4" s="102"/>
      <c r="L4" s="101" t="s">
        <v>353</v>
      </c>
      <c r="M4" s="102"/>
      <c r="N4" s="101" t="s">
        <v>354</v>
      </c>
      <c r="O4" s="102"/>
      <c r="P4" s="101" t="s">
        <v>355</v>
      </c>
      <c r="Q4" s="102"/>
      <c r="R4" s="101" t="s">
        <v>356</v>
      </c>
      <c r="S4" s="102"/>
      <c r="T4" s="101" t="s">
        <v>357</v>
      </c>
      <c r="U4" s="102"/>
      <c r="V4" s="101" t="s">
        <v>358</v>
      </c>
      <c r="W4" s="102"/>
      <c r="X4" s="101" t="s">
        <v>359</v>
      </c>
      <c r="Y4" s="103"/>
      <c r="Z4" s="104" t="s">
        <v>368</v>
      </c>
      <c r="AA4" s="105"/>
      <c r="AB4" s="100" t="s">
        <v>138</v>
      </c>
      <c r="AD4" s="106"/>
      <c r="AE4" s="106"/>
    </row>
    <row r="5" spans="1:68" x14ac:dyDescent="0.2">
      <c r="A5" s="98"/>
      <c r="B5" s="107" t="s">
        <v>369</v>
      </c>
      <c r="C5" s="108"/>
      <c r="D5" s="109" t="s">
        <v>360</v>
      </c>
      <c r="E5" s="110"/>
      <c r="F5" s="109"/>
      <c r="G5" s="110"/>
      <c r="H5" s="109" t="s">
        <v>361</v>
      </c>
      <c r="I5" s="110"/>
      <c r="J5" s="109" t="s">
        <v>362</v>
      </c>
      <c r="K5" s="110"/>
      <c r="L5" s="109" t="s">
        <v>356</v>
      </c>
      <c r="M5" s="110"/>
      <c r="N5" s="109" t="s">
        <v>363</v>
      </c>
      <c r="O5" s="110"/>
      <c r="P5" s="109" t="s">
        <v>364</v>
      </c>
      <c r="Q5" s="110"/>
      <c r="R5" s="109"/>
      <c r="S5" s="110"/>
      <c r="T5" s="109"/>
      <c r="U5" s="110"/>
      <c r="V5" s="109"/>
      <c r="W5" s="110"/>
      <c r="X5" s="109" t="s">
        <v>365</v>
      </c>
      <c r="Y5" s="111"/>
      <c r="Z5" s="112"/>
      <c r="AA5" s="113"/>
      <c r="AB5" s="108"/>
      <c r="AD5" s="114" t="s">
        <v>370</v>
      </c>
      <c r="AE5" s="114" t="s">
        <v>371</v>
      </c>
      <c r="BE5" s="115">
        <f>MAX(BE7:BE112)-MIN(BE7:BE112)</f>
        <v>9.358452633023262E-2</v>
      </c>
      <c r="BF5" s="115">
        <f t="shared" ref="BF5:BP5" si="0">MAX(BF7:BF112)-MIN(BF7:BF112)</f>
        <v>4.0768761187791824E-2</v>
      </c>
      <c r="BG5" s="115">
        <f t="shared" si="0"/>
        <v>0.10519874468445778</v>
      </c>
      <c r="BH5" s="115">
        <f t="shared" si="0"/>
        <v>8.3793692057952285E-2</v>
      </c>
      <c r="BI5" s="115">
        <f t="shared" si="0"/>
        <v>0.46492251645031502</v>
      </c>
      <c r="BJ5" s="115">
        <f t="shared" si="0"/>
        <v>9.9999971687793732E-2</v>
      </c>
      <c r="BK5" s="115">
        <f t="shared" si="0"/>
        <v>0.1565409907780122</v>
      </c>
      <c r="BL5" s="115">
        <f t="shared" si="0"/>
        <v>5.1681406286661513E-2</v>
      </c>
      <c r="BM5" s="115">
        <f t="shared" si="0"/>
        <v>0.13298858766211197</v>
      </c>
      <c r="BN5" s="115">
        <f t="shared" si="0"/>
        <v>0.10476920423025149</v>
      </c>
      <c r="BO5" s="115">
        <f t="shared" si="0"/>
        <v>0.16952527820831165</v>
      </c>
      <c r="BP5" s="115">
        <f t="shared" si="0"/>
        <v>0.62544506788253784</v>
      </c>
    </row>
    <row r="6" spans="1:68" ht="16.5" customHeight="1" thickBot="1" x14ac:dyDescent="0.3">
      <c r="A6" s="98"/>
      <c r="B6" s="116"/>
      <c r="C6" s="117" t="s">
        <v>372</v>
      </c>
      <c r="D6" s="118" t="s">
        <v>373</v>
      </c>
      <c r="E6" s="119" t="s">
        <v>374</v>
      </c>
      <c r="F6" s="118" t="s">
        <v>373</v>
      </c>
      <c r="G6" s="119" t="s">
        <v>374</v>
      </c>
      <c r="H6" s="118" t="s">
        <v>373</v>
      </c>
      <c r="I6" s="119" t="s">
        <v>374</v>
      </c>
      <c r="J6" s="118" t="s">
        <v>373</v>
      </c>
      <c r="K6" s="119" t="s">
        <v>374</v>
      </c>
      <c r="L6" s="118" t="s">
        <v>373</v>
      </c>
      <c r="M6" s="119" t="s">
        <v>374</v>
      </c>
      <c r="N6" s="118" t="s">
        <v>373</v>
      </c>
      <c r="O6" s="119" t="s">
        <v>374</v>
      </c>
      <c r="P6" s="118" t="s">
        <v>373</v>
      </c>
      <c r="Q6" s="119" t="s">
        <v>374</v>
      </c>
      <c r="R6" s="118" t="s">
        <v>373</v>
      </c>
      <c r="S6" s="119" t="s">
        <v>374</v>
      </c>
      <c r="T6" s="118" t="s">
        <v>373</v>
      </c>
      <c r="U6" s="119" t="s">
        <v>374</v>
      </c>
      <c r="V6" s="118" t="s">
        <v>373</v>
      </c>
      <c r="W6" s="119" t="s">
        <v>374</v>
      </c>
      <c r="X6" s="118" t="s">
        <v>373</v>
      </c>
      <c r="Y6" s="120" t="s">
        <v>374</v>
      </c>
      <c r="Z6" s="121"/>
      <c r="AA6" s="122"/>
      <c r="AB6" s="108"/>
      <c r="AD6" s="114"/>
      <c r="AE6" s="114"/>
      <c r="AP6" s="123" t="s">
        <v>375</v>
      </c>
      <c r="AQ6" s="123" t="s">
        <v>376</v>
      </c>
      <c r="AR6" s="123" t="s">
        <v>377</v>
      </c>
      <c r="AS6" s="123" t="s">
        <v>378</v>
      </c>
      <c r="AT6" s="123" t="s">
        <v>379</v>
      </c>
      <c r="AU6" s="123" t="s">
        <v>380</v>
      </c>
      <c r="AV6" s="123" t="s">
        <v>381</v>
      </c>
      <c r="AW6" s="123" t="s">
        <v>382</v>
      </c>
      <c r="AX6" s="123" t="s">
        <v>383</v>
      </c>
      <c r="AY6" s="123" t="s">
        <v>384</v>
      </c>
      <c r="AZ6" s="123" t="s">
        <v>385</v>
      </c>
      <c r="BA6" s="123" t="s">
        <v>386</v>
      </c>
      <c r="BB6" s="123" t="s">
        <v>387</v>
      </c>
      <c r="BD6" s="123" t="s">
        <v>375</v>
      </c>
      <c r="BE6" s="123" t="s">
        <v>376</v>
      </c>
      <c r="BF6" s="123" t="s">
        <v>377</v>
      </c>
      <c r="BG6" s="123" t="s">
        <v>378</v>
      </c>
      <c r="BH6" s="123" t="s">
        <v>379</v>
      </c>
      <c r="BI6" s="123" t="s">
        <v>380</v>
      </c>
      <c r="BJ6" s="123" t="s">
        <v>381</v>
      </c>
      <c r="BK6" s="123" t="s">
        <v>382</v>
      </c>
      <c r="BL6" s="123" t="s">
        <v>383</v>
      </c>
      <c r="BM6" s="123" t="s">
        <v>384</v>
      </c>
      <c r="BN6" s="123" t="s">
        <v>385</v>
      </c>
      <c r="BO6" s="123" t="s">
        <v>386</v>
      </c>
      <c r="BP6" s="123" t="s">
        <v>387</v>
      </c>
    </row>
    <row r="7" spans="1:68" ht="15" x14ac:dyDescent="0.25">
      <c r="A7" s="98">
        <v>1</v>
      </c>
      <c r="B7" s="124">
        <v>2</v>
      </c>
      <c r="C7" s="125" t="s">
        <v>388</v>
      </c>
      <c r="D7" s="126">
        <f t="array" ref="D7:D112">RANGOFOGEN</f>
        <v>4.4735941258124759E-3</v>
      </c>
      <c r="E7" s="128">
        <f>D7*E$113</f>
        <v>13701037.266579503</v>
      </c>
      <c r="F7" s="126">
        <f t="array" ref="F7:F112">RANGOFOGEN</f>
        <v>4.4735941258124759E-3</v>
      </c>
      <c r="G7" s="128">
        <f>F7*G$113</f>
        <v>5276610.0557530196</v>
      </c>
      <c r="H7" s="126">
        <f t="array" ref="H7:H112">RANGOFOGEN</f>
        <v>4.4735941258124759E-3</v>
      </c>
      <c r="I7" s="128">
        <f>H7*I$113</f>
        <v>480236.64763800375</v>
      </c>
      <c r="J7" s="126">
        <f t="array" ref="J7:J112">RANGOFOGEN</f>
        <v>4.4735941258124759E-3</v>
      </c>
      <c r="K7" s="128">
        <f>J7*K$113</f>
        <v>1276651.6015549581</v>
      </c>
      <c r="L7" s="126">
        <f t="array" ref="L7:L112">RANGOFOGEN</f>
        <v>4.4735941258124759E-3</v>
      </c>
      <c r="M7" s="128">
        <f>L7*M$113</f>
        <v>38155.082987318943</v>
      </c>
      <c r="N7" s="129">
        <v>5.0000072926342071E-4</v>
      </c>
      <c r="O7" s="128">
        <f>IFERROR(N7*O$113,"NA")</f>
        <v>124097.99999999997</v>
      </c>
      <c r="P7" s="126">
        <f t="array" ref="P7:P112">RANGOFOGEN</f>
        <v>4.4735941258124759E-3</v>
      </c>
      <c r="Q7" s="128">
        <f>P7*Q$113</f>
        <v>159178.52699224025</v>
      </c>
      <c r="R7" s="126">
        <f t="array" ref="R7:R112">RANGOFOGEN</f>
        <v>4.4735941258124759E-3</v>
      </c>
      <c r="S7" s="128">
        <f>R7*S$113</f>
        <v>181391.74257970837</v>
      </c>
      <c r="T7" s="126">
        <f t="array" ref="T7:T112">RANGOFOGEN</f>
        <v>4.4735941258124759E-3</v>
      </c>
      <c r="U7" s="128">
        <f>T7*U$113</f>
        <v>175775.14515475082</v>
      </c>
      <c r="V7" s="126">
        <f t="array" ref="V7:V112">RANGOFOGEN</f>
        <v>4.4735941258124759E-3</v>
      </c>
      <c r="W7" s="128">
        <f>V7*W$113</f>
        <v>28805.494944077156</v>
      </c>
      <c r="X7" s="130">
        <f t="array" ref="X7:X112">FACTORGASOLINAS</f>
        <v>3.4054786154979763E-3</v>
      </c>
      <c r="Y7" s="128">
        <f>X7*Y$113</f>
        <v>391053.95299227658</v>
      </c>
      <c r="Z7" s="133">
        <f>E7+G7+I7+K7+M7+O7+S7+U7+Y7</f>
        <v>21645009.495239541</v>
      </c>
      <c r="AA7" s="134">
        <v>4.88260834417491E-3</v>
      </c>
      <c r="AB7" s="135">
        <f>E7+G7+I7+K7+M7+IF(O7="NA",0,O7)+Q7+S7+U7+W7+Y7</f>
        <v>21832993.517175857</v>
      </c>
      <c r="AD7" s="136">
        <v>21656915</v>
      </c>
      <c r="AE7" s="137">
        <f>AD7/AB7-1</f>
        <v>-8.0647904300130691E-3</v>
      </c>
      <c r="AP7" s="138" t="s">
        <v>389</v>
      </c>
      <c r="AQ7">
        <v>13701037.25</v>
      </c>
      <c r="AR7">
        <v>5276610.0599999996</v>
      </c>
      <c r="AS7">
        <v>480236.63999999996</v>
      </c>
      <c r="AT7">
        <v>1276651.6200000001</v>
      </c>
      <c r="AU7">
        <v>38155.089999999997</v>
      </c>
      <c r="AV7">
        <v>124097.98000000001</v>
      </c>
      <c r="AW7">
        <v>159178.52999999997</v>
      </c>
      <c r="AX7">
        <v>181391.74</v>
      </c>
      <c r="AY7">
        <v>175775.17</v>
      </c>
      <c r="AZ7">
        <v>28805.49</v>
      </c>
      <c r="BA7">
        <v>391053.95999999996</v>
      </c>
      <c r="BB7">
        <v>21832993.530000001</v>
      </c>
      <c r="BD7" s="138" t="s">
        <v>389</v>
      </c>
      <c r="BE7" s="139">
        <f>E7-AQ7</f>
        <v>1.6579503193497658E-2</v>
      </c>
      <c r="BF7" s="140">
        <f>AR7-G7</f>
        <v>4.2469799518585205E-3</v>
      </c>
      <c r="BG7" s="140">
        <f>I7-AS7</f>
        <v>7.6380037935450673E-3</v>
      </c>
      <c r="BH7" s="140">
        <f>K7-AT7</f>
        <v>-1.8445041961967945E-2</v>
      </c>
      <c r="BI7" s="140">
        <f>M7-AU7</f>
        <v>-7.0126810533110984E-3</v>
      </c>
      <c r="BJ7" s="140">
        <f>IFERROR(O7-AV7,0)</f>
        <v>1.9999999960418791E-2</v>
      </c>
      <c r="BK7" s="140">
        <f>Q7-AW7</f>
        <v>-3.0077597184572369E-3</v>
      </c>
      <c r="BL7" s="140">
        <f>S7-AX7</f>
        <v>2.57970837992616E-3</v>
      </c>
      <c r="BM7" s="140">
        <f>AY7-U7</f>
        <v>2.4845249194186181E-2</v>
      </c>
      <c r="BN7" s="140">
        <f>W7-AZ7</f>
        <v>4.9440771545050666E-3</v>
      </c>
      <c r="BO7" s="140">
        <f>Y7-BA7</f>
        <v>-7.0077233831398189E-3</v>
      </c>
      <c r="BP7" s="140">
        <f>AB7-BB7</f>
        <v>-1.2824144214391708E-2</v>
      </c>
    </row>
    <row r="8" spans="1:68" ht="15" x14ac:dyDescent="0.25">
      <c r="A8" s="98">
        <v>2</v>
      </c>
      <c r="B8" s="124">
        <v>2</v>
      </c>
      <c r="C8" s="141" t="s">
        <v>390</v>
      </c>
      <c r="D8" s="126">
        <v>7.4027414003657067E-3</v>
      </c>
      <c r="E8" s="128">
        <f t="shared" ref="E8:E55" si="1">D8*E$113</f>
        <v>22671979.83295837</v>
      </c>
      <c r="F8" s="126">
        <v>7.4027414003657067E-3</v>
      </c>
      <c r="G8" s="128">
        <f t="shared" ref="G8:G71" si="2">F8*G$113</f>
        <v>8731543.0534759816</v>
      </c>
      <c r="H8" s="126">
        <v>7.4027414003657067E-3</v>
      </c>
      <c r="I8" s="128">
        <f t="shared" ref="I8:K23" si="3">H8*I$113</f>
        <v>794678.19687308616</v>
      </c>
      <c r="J8" s="126">
        <v>7.4027414003657067E-3</v>
      </c>
      <c r="K8" s="128">
        <f t="shared" si="3"/>
        <v>2112556.7941319826</v>
      </c>
      <c r="L8" s="126">
        <v>7.4027414003657067E-3</v>
      </c>
      <c r="M8" s="128">
        <f t="shared" ref="M8:M55" si="4">L8*M$113</f>
        <v>63137.648280356094</v>
      </c>
      <c r="N8" s="129" t="s">
        <v>391</v>
      </c>
      <c r="O8" s="128" t="str">
        <f t="shared" ref="O8:O71" si="5">IFERROR(N8*O$113,"NA")</f>
        <v>NA</v>
      </c>
      <c r="P8" s="126">
        <v>7.4027414003657067E-3</v>
      </c>
      <c r="Q8" s="128">
        <f t="shared" ref="Q8:Q55" si="6">P8*Q$113</f>
        <v>263402.85655679117</v>
      </c>
      <c r="R8" s="126">
        <v>7.4027414003657067E-3</v>
      </c>
      <c r="S8" s="128">
        <f t="shared" ref="S8:S55" si="7">R8*S$113</f>
        <v>300160.48052535678</v>
      </c>
      <c r="T8" s="126">
        <v>7.4027414003657067E-3</v>
      </c>
      <c r="U8" s="128">
        <f t="shared" ref="U8:U55" si="8">T8*U$113</f>
        <v>290866.33869719761</v>
      </c>
      <c r="V8" s="126">
        <v>7.4027414003657067E-3</v>
      </c>
      <c r="W8" s="128">
        <f t="shared" ref="W8:W55" si="9">V8*W$113</f>
        <v>47666.288890661781</v>
      </c>
      <c r="X8" s="131">
        <v>7.7623420388908612E-3</v>
      </c>
      <c r="Y8" s="128">
        <f t="shared" ref="Y8:Y55" si="10">X8*Y$113</f>
        <v>891356.21788144007</v>
      </c>
      <c r="Z8" s="133" t="e">
        <f t="shared" ref="Z8:Z71" si="11">E8+G8+I8+K8+M8+O8+S8+U8+Y8</f>
        <v>#VALUE!</v>
      </c>
      <c r="AA8" s="134">
        <v>7.7611240854368324E-3</v>
      </c>
      <c r="AB8" s="135">
        <f t="shared" ref="AB8:AB71" si="12">E8+G8+I8+K8+M8+IF(O8="NA",0,O8)+Q8+S8+U8+W8+Y8</f>
        <v>36167347.708271228</v>
      </c>
      <c r="AD8" s="142">
        <v>35875979</v>
      </c>
      <c r="AE8" s="137">
        <f t="shared" ref="AE8:AE71" si="13">AD8/AB8-1</f>
        <v>-8.0561259460171231E-3</v>
      </c>
      <c r="AP8" s="138" t="s">
        <v>392</v>
      </c>
      <c r="AQ8">
        <v>22671979.829999998</v>
      </c>
      <c r="AR8">
        <v>8731543.0599999987</v>
      </c>
      <c r="AS8">
        <v>794678.2</v>
      </c>
      <c r="AT8">
        <v>2112556.7699999996</v>
      </c>
      <c r="AU8">
        <v>63137.660000000011</v>
      </c>
      <c r="AV8"/>
      <c r="AW8">
        <v>263402.88</v>
      </c>
      <c r="AX8">
        <v>300160.48000000004</v>
      </c>
      <c r="AY8">
        <v>290866.33</v>
      </c>
      <c r="AZ8">
        <v>47666.31</v>
      </c>
      <c r="BA8">
        <v>891356.2300000001</v>
      </c>
      <c r="BB8">
        <v>36167347.749999993</v>
      </c>
      <c r="BD8" s="138" t="s">
        <v>392</v>
      </c>
      <c r="BE8" s="139">
        <f t="shared" ref="BE8:BE71" si="14">E8-AQ8</f>
        <v>2.9583722352981567E-3</v>
      </c>
      <c r="BF8" s="140">
        <f t="shared" ref="BF8:BF71" si="15">AR8-G8</f>
        <v>6.5240170806646347E-3</v>
      </c>
      <c r="BG8" s="140">
        <f t="shared" ref="BG8:BG71" si="16">I8-AS8</f>
        <v>-3.1269137980416417E-3</v>
      </c>
      <c r="BH8" s="140">
        <f t="shared" ref="BH8:BH71" si="17">K8-AT8</f>
        <v>2.4131983052939177E-2</v>
      </c>
      <c r="BI8" s="140">
        <f t="shared" ref="BI8:BI71" si="18">M8-AU8</f>
        <v>-1.1719643916876521E-2</v>
      </c>
      <c r="BJ8" s="140">
        <f t="shared" ref="BJ8:BJ71" si="19">IFERROR(O8-AV8,0)</f>
        <v>0</v>
      </c>
      <c r="BK8" s="140">
        <f t="shared" ref="BK8:BK71" si="20">Q8-AW8</f>
        <v>-2.344320883275941E-2</v>
      </c>
      <c r="BL8" s="140">
        <f t="shared" ref="BL8:BL71" si="21">S8-AX8</f>
        <v>5.2535673603415489E-4</v>
      </c>
      <c r="BM8" s="140">
        <f t="shared" ref="BM8:BM71" si="22">AY8-U8</f>
        <v>-8.6971975979395211E-3</v>
      </c>
      <c r="BN8" s="140">
        <f t="shared" ref="BN8:BN71" si="23">W8-AZ8</f>
        <v>-2.1109338216774631E-2</v>
      </c>
      <c r="BO8" s="140">
        <f t="shared" ref="BO8:BO71" si="24">Y8-BA8</f>
        <v>-1.2118560029193759E-2</v>
      </c>
      <c r="BP8" s="140">
        <f t="shared" ref="BP8:BP71" si="25">AB8-BB8</f>
        <v>-4.1728764772415161E-2</v>
      </c>
    </row>
    <row r="9" spans="1:68" ht="15" x14ac:dyDescent="0.25">
      <c r="A9" s="98">
        <v>3</v>
      </c>
      <c r="B9" s="124">
        <v>7</v>
      </c>
      <c r="C9" s="141" t="s">
        <v>393</v>
      </c>
      <c r="D9" s="126">
        <v>6.1393078966464308E-3</v>
      </c>
      <c r="E9" s="128">
        <f t="shared" si="1"/>
        <v>18802529.670185931</v>
      </c>
      <c r="F9" s="126">
        <v>6.1393078966464308E-3</v>
      </c>
      <c r="G9" s="128">
        <f t="shared" si="2"/>
        <v>7241321.6022195751</v>
      </c>
      <c r="H9" s="126">
        <v>6.1393078966464308E-3</v>
      </c>
      <c r="I9" s="128">
        <f t="shared" si="3"/>
        <v>659049.65005459543</v>
      </c>
      <c r="J9" s="126">
        <v>6.1393078966464308E-3</v>
      </c>
      <c r="K9" s="128">
        <f t="shared" si="3"/>
        <v>1752004.5489753066</v>
      </c>
      <c r="L9" s="126">
        <v>6.1393078966464308E-3</v>
      </c>
      <c r="M9" s="128">
        <f t="shared" si="4"/>
        <v>52361.880781642059</v>
      </c>
      <c r="N9" s="129">
        <v>7.0000021515285451E-4</v>
      </c>
      <c r="O9" s="128">
        <f t="shared" si="5"/>
        <v>173737</v>
      </c>
      <c r="P9" s="126">
        <v>6.1393078966464308E-3</v>
      </c>
      <c r="Q9" s="128">
        <f t="shared" si="6"/>
        <v>218447.61957758613</v>
      </c>
      <c r="R9" s="126">
        <v>6.1393078966464308E-3</v>
      </c>
      <c r="S9" s="128">
        <f t="shared" si="7"/>
        <v>248931.78198274953</v>
      </c>
      <c r="T9" s="126">
        <v>6.1393078966464308E-3</v>
      </c>
      <c r="U9" s="128">
        <f t="shared" si="8"/>
        <v>241223.88091850994</v>
      </c>
      <c r="V9" s="126">
        <v>6.1393078966464308E-3</v>
      </c>
      <c r="W9" s="128">
        <f t="shared" si="9"/>
        <v>39531.034243045848</v>
      </c>
      <c r="X9" s="131">
        <v>5.9785928444109245E-3</v>
      </c>
      <c r="Y9" s="128">
        <f t="shared" si="10"/>
        <v>686526.80844873155</v>
      </c>
      <c r="Z9" s="133">
        <f t="shared" si="11"/>
        <v>29857686.823567044</v>
      </c>
      <c r="AA9" s="134">
        <v>6.1894660327768891E-3</v>
      </c>
      <c r="AB9" s="135">
        <f t="shared" si="12"/>
        <v>30115665.477387678</v>
      </c>
      <c r="AD9" s="136">
        <v>29874026</v>
      </c>
      <c r="AE9" s="137">
        <f t="shared" si="13"/>
        <v>-8.0237136904417472E-3</v>
      </c>
      <c r="AP9" s="138" t="s">
        <v>148</v>
      </c>
      <c r="AQ9">
        <v>18802529.669999998</v>
      </c>
      <c r="AR9">
        <v>7241321.6100000003</v>
      </c>
      <c r="AS9">
        <v>659049.6399999999</v>
      </c>
      <c r="AT9">
        <v>1752004.5200000005</v>
      </c>
      <c r="AU9">
        <v>52361.899999999987</v>
      </c>
      <c r="AV9">
        <v>173736.99</v>
      </c>
      <c r="AW9">
        <v>218447.62</v>
      </c>
      <c r="AX9">
        <v>248931.79000000004</v>
      </c>
      <c r="AY9">
        <v>241223.89</v>
      </c>
      <c r="AZ9">
        <v>39531.040000000001</v>
      </c>
      <c r="BA9">
        <v>686526.81</v>
      </c>
      <c r="BB9">
        <v>30115665.479999993</v>
      </c>
      <c r="BD9" s="138" t="s">
        <v>148</v>
      </c>
      <c r="BE9" s="139">
        <f t="shared" si="14"/>
        <v>1.8593296408653259E-4</v>
      </c>
      <c r="BF9" s="140">
        <f t="shared" si="15"/>
        <v>7.7804252505302429E-3</v>
      </c>
      <c r="BG9" s="140">
        <f t="shared" si="16"/>
        <v>1.0054595535621047E-2</v>
      </c>
      <c r="BH9" s="140">
        <f t="shared" si="17"/>
        <v>2.8975306078791618E-2</v>
      </c>
      <c r="BI9" s="140">
        <f t="shared" si="18"/>
        <v>-1.9218357927456964E-2</v>
      </c>
      <c r="BJ9" s="140">
        <f t="shared" si="19"/>
        <v>1.0000000009313226E-2</v>
      </c>
      <c r="BK9" s="140">
        <f t="shared" si="20"/>
        <v>-4.2241386836394668E-4</v>
      </c>
      <c r="BL9" s="140">
        <f t="shared" si="21"/>
        <v>-8.0172505113296211E-3</v>
      </c>
      <c r="BM9" s="140">
        <f t="shared" si="22"/>
        <v>9.0814900759141892E-3</v>
      </c>
      <c r="BN9" s="140">
        <f t="shared" si="23"/>
        <v>-5.756954153184779E-3</v>
      </c>
      <c r="BO9" s="140">
        <f t="shared" si="24"/>
        <v>-1.5512685058638453E-3</v>
      </c>
      <c r="BP9" s="140">
        <f t="shared" si="25"/>
        <v>-2.6123151183128357E-3</v>
      </c>
    </row>
    <row r="10" spans="1:68" ht="15" x14ac:dyDescent="0.25">
      <c r="A10" s="98">
        <v>4</v>
      </c>
      <c r="B10" s="124">
        <v>2</v>
      </c>
      <c r="C10" s="143" t="s">
        <v>394</v>
      </c>
      <c r="D10" s="126">
        <v>4.3561194296131483E-3</v>
      </c>
      <c r="E10" s="128">
        <f t="shared" si="1"/>
        <v>13341253.802715361</v>
      </c>
      <c r="F10" s="126">
        <v>4.3561194296131483E-3</v>
      </c>
      <c r="G10" s="128">
        <f t="shared" si="2"/>
        <v>5138048.4996911306</v>
      </c>
      <c r="H10" s="126">
        <v>4.3561194296131483E-3</v>
      </c>
      <c r="I10" s="128">
        <f t="shared" si="3"/>
        <v>467625.83568268089</v>
      </c>
      <c r="J10" s="126">
        <v>4.3561194296131483E-3</v>
      </c>
      <c r="K10" s="128">
        <f t="shared" si="3"/>
        <v>1243127.2685852533</v>
      </c>
      <c r="L10" s="126">
        <v>4.3561194296131483E-3</v>
      </c>
      <c r="M10" s="128">
        <f t="shared" si="4"/>
        <v>37153.146589796212</v>
      </c>
      <c r="N10" s="129">
        <v>1.4999981587105892E-3</v>
      </c>
      <c r="O10" s="128">
        <f t="shared" si="5"/>
        <v>372292.99999999994</v>
      </c>
      <c r="P10" s="126">
        <v>4.3561194296131483E-3</v>
      </c>
      <c r="Q10" s="128">
        <f t="shared" si="6"/>
        <v>154998.56596448971</v>
      </c>
      <c r="R10" s="126">
        <v>4.3561194296131483E-3</v>
      </c>
      <c r="S10" s="128">
        <f t="shared" si="7"/>
        <v>176628.47187312684</v>
      </c>
      <c r="T10" s="126">
        <v>4.3561194296131483E-3</v>
      </c>
      <c r="U10" s="128">
        <f t="shared" si="8"/>
        <v>171159.36392924751</v>
      </c>
      <c r="V10" s="126">
        <v>4.3561194296131483E-3</v>
      </c>
      <c r="W10" s="128">
        <f t="shared" si="9"/>
        <v>28049.074787876205</v>
      </c>
      <c r="X10" s="131">
        <v>2.8737492386641853E-3</v>
      </c>
      <c r="Y10" s="128">
        <f t="shared" si="10"/>
        <v>329995.02465642267</v>
      </c>
      <c r="Z10" s="133">
        <f t="shared" si="11"/>
        <v>21277284.413723022</v>
      </c>
      <c r="AA10" s="134">
        <v>4.6396055656822924E-3</v>
      </c>
      <c r="AB10" s="135">
        <f t="shared" si="12"/>
        <v>21460332.054475389</v>
      </c>
      <c r="AD10" s="142">
        <v>21288876</v>
      </c>
      <c r="AE10" s="137">
        <f t="shared" si="13"/>
        <v>-7.9894408921614701E-3</v>
      </c>
      <c r="AP10" s="138" t="s">
        <v>395</v>
      </c>
      <c r="AQ10">
        <v>13341253.789999999</v>
      </c>
      <c r="AR10">
        <v>5138048.49</v>
      </c>
      <c r="AS10">
        <v>467625.82000000007</v>
      </c>
      <c r="AT10">
        <v>1243127.28</v>
      </c>
      <c r="AU10">
        <v>37153.100000000006</v>
      </c>
      <c r="AV10">
        <v>372293</v>
      </c>
      <c r="AW10">
        <v>154998.54999999999</v>
      </c>
      <c r="AX10">
        <v>176628.46000000002</v>
      </c>
      <c r="AY10">
        <v>171159.37</v>
      </c>
      <c r="AZ10">
        <v>28049.080000000005</v>
      </c>
      <c r="BA10">
        <v>329995.02000000008</v>
      </c>
      <c r="BB10">
        <v>21460331.960000001</v>
      </c>
      <c r="BD10" s="138" t="s">
        <v>395</v>
      </c>
      <c r="BE10" s="139">
        <f t="shared" si="14"/>
        <v>1.2715362012386322E-2</v>
      </c>
      <c r="BF10" s="140">
        <f t="shared" si="15"/>
        <v>-9.6911303699016571E-3</v>
      </c>
      <c r="BG10" s="140">
        <f t="shared" si="16"/>
        <v>1.568268082337454E-2</v>
      </c>
      <c r="BH10" s="140">
        <f t="shared" si="17"/>
        <v>-1.1414746753871441E-2</v>
      </c>
      <c r="BI10" s="140">
        <f t="shared" si="18"/>
        <v>4.6589796205807943E-2</v>
      </c>
      <c r="BJ10" s="140">
        <f t="shared" si="19"/>
        <v>-5.8207660913467407E-11</v>
      </c>
      <c r="BK10" s="140">
        <f t="shared" si="20"/>
        <v>1.5964489721227437E-2</v>
      </c>
      <c r="BL10" s="140">
        <f t="shared" si="21"/>
        <v>1.1873126815771684E-2</v>
      </c>
      <c r="BM10" s="140">
        <f t="shared" si="22"/>
        <v>6.0707524826284498E-3</v>
      </c>
      <c r="BN10" s="140">
        <f t="shared" si="23"/>
        <v>-5.2121238004474435E-3</v>
      </c>
      <c r="BO10" s="140">
        <f t="shared" si="24"/>
        <v>4.6564225922338665E-3</v>
      </c>
      <c r="BP10" s="140">
        <f t="shared" si="25"/>
        <v>9.4475388526916504E-2</v>
      </c>
    </row>
    <row r="11" spans="1:68" ht="15" x14ac:dyDescent="0.25">
      <c r="A11" s="98">
        <v>5</v>
      </c>
      <c r="B11" s="124">
        <v>4</v>
      </c>
      <c r="C11" s="143" t="s">
        <v>396</v>
      </c>
      <c r="D11" s="126">
        <v>3.1762350210610187E-3</v>
      </c>
      <c r="E11" s="128">
        <f t="shared" si="1"/>
        <v>9727684.9814953748</v>
      </c>
      <c r="F11" s="126">
        <v>3.1762350210610187E-3</v>
      </c>
      <c r="G11" s="128">
        <f t="shared" si="2"/>
        <v>3746373.3142133537</v>
      </c>
      <c r="H11" s="126">
        <v>3.1762350210610187E-3</v>
      </c>
      <c r="I11" s="128">
        <f t="shared" si="3"/>
        <v>340966.21546947805</v>
      </c>
      <c r="J11" s="126">
        <v>3.1762350210610187E-3</v>
      </c>
      <c r="K11" s="128">
        <f t="shared" si="3"/>
        <v>906417.8404463667</v>
      </c>
      <c r="L11" s="126">
        <v>3.1762350210610187E-3</v>
      </c>
      <c r="M11" s="128">
        <f t="shared" si="4"/>
        <v>27089.96556405348</v>
      </c>
      <c r="N11" s="129" t="s">
        <v>391</v>
      </c>
      <c r="O11" s="128" t="str">
        <f t="shared" si="5"/>
        <v>NA</v>
      </c>
      <c r="P11" s="126">
        <v>3.1762350210610187E-3</v>
      </c>
      <c r="Q11" s="128">
        <f t="shared" si="6"/>
        <v>113016.15609615397</v>
      </c>
      <c r="R11" s="126">
        <v>3.1762350210610187E-3</v>
      </c>
      <c r="S11" s="128">
        <f t="shared" si="7"/>
        <v>128787.45570337547</v>
      </c>
      <c r="T11" s="126">
        <v>3.1762350210610187E-3</v>
      </c>
      <c r="U11" s="128">
        <f t="shared" si="8"/>
        <v>124799.69263443336</v>
      </c>
      <c r="V11" s="126">
        <v>3.1762350210610187E-3</v>
      </c>
      <c r="W11" s="128">
        <f t="shared" si="9"/>
        <v>20451.793181787001</v>
      </c>
      <c r="X11" s="131">
        <v>1.0316240721777122E-3</v>
      </c>
      <c r="Y11" s="128">
        <f t="shared" si="10"/>
        <v>118462.25361426697</v>
      </c>
      <c r="Z11" s="133" t="e">
        <f t="shared" si="11"/>
        <v>#VALUE!</v>
      </c>
      <c r="AA11" s="134">
        <v>3.4385293380743134E-3</v>
      </c>
      <c r="AB11" s="135">
        <f t="shared" si="12"/>
        <v>15254049.668418644</v>
      </c>
      <c r="AD11" s="136">
        <v>15129035</v>
      </c>
      <c r="AE11" s="137">
        <f t="shared" si="13"/>
        <v>-8.1955068415352494E-3</v>
      </c>
      <c r="AP11" s="138" t="s">
        <v>154</v>
      </c>
      <c r="AQ11">
        <v>9727684.9800000004</v>
      </c>
      <c r="AR11">
        <v>3746373.3199999994</v>
      </c>
      <c r="AS11">
        <v>340966.21</v>
      </c>
      <c r="AT11">
        <v>906417.86999999988</v>
      </c>
      <c r="AU11">
        <v>27090.010000000002</v>
      </c>
      <c r="AV11"/>
      <c r="AW11">
        <v>113016.15</v>
      </c>
      <c r="AX11">
        <v>128787.44000000002</v>
      </c>
      <c r="AY11">
        <v>124799.67999999999</v>
      </c>
      <c r="AZ11">
        <v>20451.78</v>
      </c>
      <c r="BA11">
        <v>118462.25</v>
      </c>
      <c r="BB11">
        <v>15254049.689999998</v>
      </c>
      <c r="BD11" s="138" t="s">
        <v>154</v>
      </c>
      <c r="BE11" s="139">
        <f t="shared" si="14"/>
        <v>1.4953743666410446E-3</v>
      </c>
      <c r="BF11" s="140">
        <f t="shared" si="15"/>
        <v>5.7866456918418407E-3</v>
      </c>
      <c r="BG11" s="140">
        <f t="shared" si="16"/>
        <v>5.4694780264981091E-3</v>
      </c>
      <c r="BH11" s="140">
        <f t="shared" si="17"/>
        <v>-2.9553633183240891E-2</v>
      </c>
      <c r="BI11" s="140">
        <f t="shared" si="18"/>
        <v>-4.4435946521844016E-2</v>
      </c>
      <c r="BJ11" s="140">
        <f t="shared" si="19"/>
        <v>0</v>
      </c>
      <c r="BK11" s="140">
        <f t="shared" si="20"/>
        <v>6.0961539711570367E-3</v>
      </c>
      <c r="BL11" s="140">
        <f t="shared" si="21"/>
        <v>1.5703375451266766E-2</v>
      </c>
      <c r="BM11" s="140">
        <f t="shared" si="22"/>
        <v>-1.2634433369385079E-2</v>
      </c>
      <c r="BN11" s="140">
        <f t="shared" si="23"/>
        <v>1.318178700239514E-2</v>
      </c>
      <c r="BO11" s="140">
        <f t="shared" si="24"/>
        <v>3.6142669705441222E-3</v>
      </c>
      <c r="BP11" s="140">
        <f t="shared" si="25"/>
        <v>-2.158135361969471E-2</v>
      </c>
    </row>
    <row r="12" spans="1:68" ht="15" x14ac:dyDescent="0.25">
      <c r="A12" s="98">
        <v>6</v>
      </c>
      <c r="B12" s="124">
        <v>5</v>
      </c>
      <c r="C12" s="141" t="s">
        <v>397</v>
      </c>
      <c r="D12" s="126">
        <v>5.2234195454994954E-3</v>
      </c>
      <c r="E12" s="128">
        <f t="shared" si="1"/>
        <v>15997487.442799874</v>
      </c>
      <c r="F12" s="126">
        <v>5.2234195454994954E-3</v>
      </c>
      <c r="G12" s="128">
        <f t="shared" si="2"/>
        <v>6161030.1077981275</v>
      </c>
      <c r="H12" s="126">
        <v>5.2234195454994954E-3</v>
      </c>
      <c r="I12" s="128">
        <f t="shared" si="3"/>
        <v>560729.78933508485</v>
      </c>
      <c r="J12" s="126">
        <v>5.2234195454994954E-3</v>
      </c>
      <c r="K12" s="128">
        <f t="shared" si="3"/>
        <v>1490632.9767107111</v>
      </c>
      <c r="L12" s="126">
        <v>5.2234195454994954E-3</v>
      </c>
      <c r="M12" s="128">
        <f t="shared" si="4"/>
        <v>44550.310249685652</v>
      </c>
      <c r="N12" s="129" t="s">
        <v>391</v>
      </c>
      <c r="O12" s="128" t="str">
        <f t="shared" si="5"/>
        <v>NA</v>
      </c>
      <c r="P12" s="126">
        <v>5.2234195454994954E-3</v>
      </c>
      <c r="Q12" s="128">
        <f t="shared" si="6"/>
        <v>185858.66436063443</v>
      </c>
      <c r="R12" s="126">
        <v>5.2234195454994954E-3</v>
      </c>
      <c r="S12" s="128">
        <f t="shared" si="7"/>
        <v>211795.06833579441</v>
      </c>
      <c r="T12" s="126">
        <v>5.2234195454994954E-3</v>
      </c>
      <c r="U12" s="128">
        <f t="shared" si="8"/>
        <v>205237.0650964198</v>
      </c>
      <c r="V12" s="126">
        <v>5.2234195454994954E-3</v>
      </c>
      <c r="W12" s="128">
        <f t="shared" si="9"/>
        <v>33633.624570568973</v>
      </c>
      <c r="X12" s="131">
        <v>4.4012940135547633E-3</v>
      </c>
      <c r="Y12" s="128">
        <f t="shared" si="10"/>
        <v>505404.26665699476</v>
      </c>
      <c r="Z12" s="133" t="e">
        <f t="shared" si="11"/>
        <v>#VALUE!</v>
      </c>
      <c r="AA12" s="134">
        <v>5.6152576914356286E-3</v>
      </c>
      <c r="AB12" s="135">
        <f t="shared" si="12"/>
        <v>25396359.315913893</v>
      </c>
      <c r="AD12" s="142">
        <v>25190768</v>
      </c>
      <c r="AE12" s="137">
        <f t="shared" si="13"/>
        <v>-8.0953066286577613E-3</v>
      </c>
      <c r="AP12" s="138" t="s">
        <v>155</v>
      </c>
      <c r="AQ12">
        <v>15997487.439999999</v>
      </c>
      <c r="AR12">
        <v>6161030.1100000003</v>
      </c>
      <c r="AS12">
        <v>560729.78</v>
      </c>
      <c r="AT12">
        <v>1490632.98</v>
      </c>
      <c r="AU12">
        <v>44550.259999999987</v>
      </c>
      <c r="AV12"/>
      <c r="AW12">
        <v>185858.66</v>
      </c>
      <c r="AX12">
        <v>211795.07</v>
      </c>
      <c r="AY12">
        <v>205237.07</v>
      </c>
      <c r="AZ12">
        <v>33633.61</v>
      </c>
      <c r="BA12">
        <v>505404.25</v>
      </c>
      <c r="BB12">
        <v>25396359.23</v>
      </c>
      <c r="BD12" s="138" t="s">
        <v>155</v>
      </c>
      <c r="BE12" s="139">
        <f t="shared" si="14"/>
        <v>2.7998741716146469E-3</v>
      </c>
      <c r="BF12" s="140">
        <f t="shared" si="15"/>
        <v>2.2018728777766228E-3</v>
      </c>
      <c r="BG12" s="140">
        <f t="shared" si="16"/>
        <v>9.3350848183035851E-3</v>
      </c>
      <c r="BH12" s="140">
        <f t="shared" si="17"/>
        <v>-3.2892888411879539E-3</v>
      </c>
      <c r="BI12" s="140">
        <f t="shared" si="18"/>
        <v>5.0249685664311983E-2</v>
      </c>
      <c r="BJ12" s="140">
        <f t="shared" si="19"/>
        <v>0</v>
      </c>
      <c r="BK12" s="140">
        <f t="shared" si="20"/>
        <v>4.3606344261206686E-3</v>
      </c>
      <c r="BL12" s="140">
        <f t="shared" si="21"/>
        <v>-1.6642055998090655E-3</v>
      </c>
      <c r="BM12" s="140">
        <f t="shared" si="22"/>
        <v>4.9035802076105028E-3</v>
      </c>
      <c r="BN12" s="140">
        <f t="shared" si="23"/>
        <v>1.4570568971976172E-2</v>
      </c>
      <c r="BO12" s="140">
        <f t="shared" si="24"/>
        <v>1.6656994761433452E-2</v>
      </c>
      <c r="BP12" s="140">
        <f t="shared" si="25"/>
        <v>8.5913892835378647E-2</v>
      </c>
    </row>
    <row r="13" spans="1:68" ht="15" x14ac:dyDescent="0.25">
      <c r="A13" s="98">
        <v>7</v>
      </c>
      <c r="B13" s="124">
        <v>4</v>
      </c>
      <c r="C13" s="143" t="s">
        <v>398</v>
      </c>
      <c r="D13" s="126">
        <v>4.7036163060097773E-3</v>
      </c>
      <c r="E13" s="128">
        <f t="shared" si="1"/>
        <v>14405513.885242516</v>
      </c>
      <c r="F13" s="126">
        <v>4.7036163060097773E-3</v>
      </c>
      <c r="G13" s="128">
        <f t="shared" si="2"/>
        <v>5547921.5147144161</v>
      </c>
      <c r="H13" s="126">
        <v>4.7036163060097773E-3</v>
      </c>
      <c r="I13" s="128">
        <f t="shared" si="3"/>
        <v>504929.33937392972</v>
      </c>
      <c r="J13" s="126">
        <v>4.7036163060097773E-3</v>
      </c>
      <c r="K13" s="128">
        <f t="shared" si="3"/>
        <v>1342294.1646671661</v>
      </c>
      <c r="L13" s="126">
        <v>4.7036163060097773E-3</v>
      </c>
      <c r="M13" s="128">
        <f t="shared" si="4"/>
        <v>40116.931811223621</v>
      </c>
      <c r="N13" s="129" t="s">
        <v>391</v>
      </c>
      <c r="O13" s="128" t="str">
        <f t="shared" si="5"/>
        <v>NA</v>
      </c>
      <c r="P13" s="126">
        <v>4.7036163060097773E-3</v>
      </c>
      <c r="Q13" s="128">
        <f t="shared" si="6"/>
        <v>167363.12997356243</v>
      </c>
      <c r="R13" s="126">
        <v>4.7036163060097773E-3</v>
      </c>
      <c r="S13" s="128">
        <f t="shared" si="7"/>
        <v>190718.49930473749</v>
      </c>
      <c r="T13" s="126">
        <v>4.7036163060097773E-3</v>
      </c>
      <c r="U13" s="128">
        <f t="shared" si="8"/>
        <v>184813.10903254221</v>
      </c>
      <c r="V13" s="126">
        <v>4.7036163060097773E-3</v>
      </c>
      <c r="W13" s="128">
        <f t="shared" si="9"/>
        <v>30286.608912478481</v>
      </c>
      <c r="X13" s="131">
        <v>3.3002499463085058E-3</v>
      </c>
      <c r="Y13" s="128">
        <f t="shared" si="10"/>
        <v>378970.45704331092</v>
      </c>
      <c r="Z13" s="133" t="e">
        <f t="shared" si="11"/>
        <v>#VALUE!</v>
      </c>
      <c r="AA13" s="134">
        <v>4.9340624789442206E-3</v>
      </c>
      <c r="AB13" s="135">
        <f t="shared" si="12"/>
        <v>22792927.640075892</v>
      </c>
      <c r="AD13" s="136">
        <v>22607795</v>
      </c>
      <c r="AE13" s="137">
        <f t="shared" si="13"/>
        <v>-8.1223721234643387E-3</v>
      </c>
      <c r="AP13" s="138" t="s">
        <v>156</v>
      </c>
      <c r="AQ13">
        <v>14405513.890000001</v>
      </c>
      <c r="AR13">
        <v>5547921.5200000005</v>
      </c>
      <c r="AS13">
        <v>504929.33999999997</v>
      </c>
      <c r="AT13">
        <v>1342294.1700000002</v>
      </c>
      <c r="AU13">
        <v>40116.970000000008</v>
      </c>
      <c r="AV13"/>
      <c r="AW13">
        <v>167363.13999999998</v>
      </c>
      <c r="AX13">
        <v>190718.51</v>
      </c>
      <c r="AY13">
        <v>184813.11</v>
      </c>
      <c r="AZ13">
        <v>30286.609999999993</v>
      </c>
      <c r="BA13">
        <v>378970.44</v>
      </c>
      <c r="BB13">
        <v>22792927.700000003</v>
      </c>
      <c r="BD13" s="138" t="s">
        <v>156</v>
      </c>
      <c r="BE13" s="139">
        <f t="shared" si="14"/>
        <v>-4.7574844211339951E-3</v>
      </c>
      <c r="BF13" s="140">
        <f t="shared" si="15"/>
        <v>5.2855843678116798E-3</v>
      </c>
      <c r="BG13" s="140">
        <f t="shared" si="16"/>
        <v>-6.2607025029137731E-4</v>
      </c>
      <c r="BH13" s="140">
        <f t="shared" si="17"/>
        <v>-5.3328340873122215E-3</v>
      </c>
      <c r="BI13" s="140">
        <f t="shared" si="18"/>
        <v>-3.8188776386959944E-2</v>
      </c>
      <c r="BJ13" s="140">
        <f t="shared" si="19"/>
        <v>0</v>
      </c>
      <c r="BK13" s="140">
        <f t="shared" si="20"/>
        <v>-1.0026437550550327E-2</v>
      </c>
      <c r="BL13" s="140">
        <f t="shared" si="21"/>
        <v>-1.0695262521039695E-2</v>
      </c>
      <c r="BM13" s="140">
        <f t="shared" si="22"/>
        <v>9.6745777409523726E-4</v>
      </c>
      <c r="BN13" s="140">
        <f t="shared" si="23"/>
        <v>-1.0875215120904613E-3</v>
      </c>
      <c r="BO13" s="140">
        <f t="shared" si="24"/>
        <v>1.7043310916051269E-2</v>
      </c>
      <c r="BP13" s="140">
        <f t="shared" si="25"/>
        <v>-5.9924110770225525E-2</v>
      </c>
    </row>
    <row r="14" spans="1:68" ht="15" x14ac:dyDescent="0.25">
      <c r="A14" s="98">
        <v>8</v>
      </c>
      <c r="B14" s="124">
        <v>5</v>
      </c>
      <c r="C14" s="141" t="s">
        <v>399</v>
      </c>
      <c r="D14" s="126">
        <v>3.7111181669522179E-3</v>
      </c>
      <c r="E14" s="128">
        <f t="shared" si="1"/>
        <v>11365842.961191317</v>
      </c>
      <c r="F14" s="126">
        <v>3.7111181669522179E-3</v>
      </c>
      <c r="G14" s="128">
        <f t="shared" si="2"/>
        <v>4377268.6763959313</v>
      </c>
      <c r="H14" s="126">
        <v>3.7111181669522179E-3</v>
      </c>
      <c r="I14" s="128">
        <f t="shared" si="3"/>
        <v>398385.4809720692</v>
      </c>
      <c r="J14" s="126">
        <v>3.7111181669522179E-3</v>
      </c>
      <c r="K14" s="128">
        <f t="shared" si="3"/>
        <v>1059060.0796934811</v>
      </c>
      <c r="L14" s="126">
        <v>3.7111181669522179E-3</v>
      </c>
      <c r="M14" s="128">
        <f t="shared" si="4"/>
        <v>31651.959845617952</v>
      </c>
      <c r="N14" s="129" t="s">
        <v>391</v>
      </c>
      <c r="O14" s="128" t="str">
        <f t="shared" si="5"/>
        <v>NA</v>
      </c>
      <c r="P14" s="126">
        <v>3.7111181669522179E-3</v>
      </c>
      <c r="Q14" s="128">
        <f t="shared" si="6"/>
        <v>132048.26068174228</v>
      </c>
      <c r="R14" s="126">
        <v>3.7111181669522179E-3</v>
      </c>
      <c r="S14" s="128">
        <f t="shared" si="7"/>
        <v>150475.47280575396</v>
      </c>
      <c r="T14" s="126">
        <v>3.7111181669522179E-3</v>
      </c>
      <c r="U14" s="128">
        <f t="shared" si="8"/>
        <v>145816.16394714545</v>
      </c>
      <c r="V14" s="126">
        <v>3.7111181669522179E-3</v>
      </c>
      <c r="W14" s="128">
        <f t="shared" si="9"/>
        <v>23895.908432596163</v>
      </c>
      <c r="X14" s="131">
        <v>2.049079727188481E-3</v>
      </c>
      <c r="Y14" s="128">
        <f t="shared" si="10"/>
        <v>235297.53605462547</v>
      </c>
      <c r="Z14" s="133" t="e">
        <f t="shared" si="11"/>
        <v>#VALUE!</v>
      </c>
      <c r="AA14" s="134">
        <v>4.1426474044997403E-3</v>
      </c>
      <c r="AB14" s="135">
        <f t="shared" si="12"/>
        <v>17919742.500020277</v>
      </c>
      <c r="AD14" s="142">
        <v>17773674</v>
      </c>
      <c r="AE14" s="137">
        <f t="shared" si="13"/>
        <v>-8.1512611032279469E-3</v>
      </c>
      <c r="AP14" s="138" t="s">
        <v>157</v>
      </c>
      <c r="AQ14">
        <v>11365842.939999999</v>
      </c>
      <c r="AR14">
        <v>4377268.68</v>
      </c>
      <c r="AS14">
        <v>398385.49</v>
      </c>
      <c r="AT14">
        <v>1059060.05</v>
      </c>
      <c r="AU14">
        <v>31651.929999999997</v>
      </c>
      <c r="AV14"/>
      <c r="AW14">
        <v>132048.25999999998</v>
      </c>
      <c r="AX14">
        <v>150475.44999999998</v>
      </c>
      <c r="AY14">
        <v>145816.17000000001</v>
      </c>
      <c r="AZ14">
        <v>23895.889999999996</v>
      </c>
      <c r="BA14">
        <v>235297.52999999997</v>
      </c>
      <c r="BB14">
        <v>17919742.390000001</v>
      </c>
      <c r="BD14" s="138" t="s">
        <v>157</v>
      </c>
      <c r="BE14" s="139">
        <f t="shared" si="14"/>
        <v>2.1191317588090897E-2</v>
      </c>
      <c r="BF14" s="140">
        <f t="shared" si="15"/>
        <v>3.6040684208273888E-3</v>
      </c>
      <c r="BG14" s="140">
        <f t="shared" si="16"/>
        <v>-9.0279307914897799E-3</v>
      </c>
      <c r="BH14" s="140">
        <f t="shared" si="17"/>
        <v>2.9693481046706438E-2</v>
      </c>
      <c r="BI14" s="140">
        <f t="shared" si="18"/>
        <v>2.9845617955288617E-2</v>
      </c>
      <c r="BJ14" s="140">
        <f t="shared" si="19"/>
        <v>0</v>
      </c>
      <c r="BK14" s="140">
        <f t="shared" si="20"/>
        <v>6.817422981839627E-4</v>
      </c>
      <c r="BL14" s="140">
        <f t="shared" si="21"/>
        <v>2.2805753978900611E-2</v>
      </c>
      <c r="BM14" s="140">
        <f t="shared" si="22"/>
        <v>6.0528545582201332E-3</v>
      </c>
      <c r="BN14" s="140">
        <f t="shared" si="23"/>
        <v>1.8432596167258453E-2</v>
      </c>
      <c r="BO14" s="140">
        <f t="shared" si="24"/>
        <v>6.054625497199595E-3</v>
      </c>
      <c r="BP14" s="140">
        <f t="shared" si="25"/>
        <v>0.11002027615904808</v>
      </c>
    </row>
    <row r="15" spans="1:68" ht="15" x14ac:dyDescent="0.25">
      <c r="A15" s="98">
        <v>9</v>
      </c>
      <c r="B15" s="124">
        <v>4</v>
      </c>
      <c r="C15" s="143" t="s">
        <v>400</v>
      </c>
      <c r="D15" s="126">
        <v>3.8553401918089295E-3</v>
      </c>
      <c r="E15" s="128">
        <f t="shared" si="1"/>
        <v>11807544.036803421</v>
      </c>
      <c r="F15" s="126">
        <v>3.8553401918089295E-3</v>
      </c>
      <c r="G15" s="128">
        <f t="shared" si="2"/>
        <v>4547378.7411935003</v>
      </c>
      <c r="H15" s="126">
        <v>3.8553401918089295E-3</v>
      </c>
      <c r="I15" s="128">
        <f t="shared" si="3"/>
        <v>413867.5966457107</v>
      </c>
      <c r="J15" s="126">
        <v>3.8553401918089295E-3</v>
      </c>
      <c r="K15" s="128">
        <f t="shared" si="3"/>
        <v>1100217.4296529794</v>
      </c>
      <c r="L15" s="126">
        <v>3.8553401918089295E-3</v>
      </c>
      <c r="M15" s="128">
        <f t="shared" si="4"/>
        <v>32882.02300562973</v>
      </c>
      <c r="N15" s="129" t="s">
        <v>391</v>
      </c>
      <c r="O15" s="128" t="str">
        <f t="shared" si="5"/>
        <v>NA</v>
      </c>
      <c r="P15" s="126">
        <v>3.8553401918089295E-3</v>
      </c>
      <c r="Q15" s="128">
        <f t="shared" si="6"/>
        <v>137179.93978156679</v>
      </c>
      <c r="R15" s="126">
        <v>3.8553401918089295E-3</v>
      </c>
      <c r="S15" s="128">
        <f t="shared" si="7"/>
        <v>156323.27295735618</v>
      </c>
      <c r="T15" s="126">
        <v>3.8553401918089295E-3</v>
      </c>
      <c r="U15" s="128">
        <f t="shared" si="8"/>
        <v>151482.89334654008</v>
      </c>
      <c r="V15" s="126">
        <v>3.8553401918089295E-3</v>
      </c>
      <c r="W15" s="128">
        <f t="shared" si="9"/>
        <v>24824.554771758652</v>
      </c>
      <c r="X15" s="131">
        <v>2.181384846270687E-3</v>
      </c>
      <c r="Y15" s="128">
        <f t="shared" si="10"/>
        <v>250490.24335360961</v>
      </c>
      <c r="Z15" s="133" t="e">
        <f t="shared" si="11"/>
        <v>#VALUE!</v>
      </c>
      <c r="AA15" s="134">
        <v>4.3145571890793096E-3</v>
      </c>
      <c r="AB15" s="135">
        <f t="shared" si="12"/>
        <v>18622190.73151207</v>
      </c>
      <c r="AD15" s="136">
        <v>18470446</v>
      </c>
      <c r="AE15" s="137">
        <f t="shared" si="13"/>
        <v>-8.148597213929909E-3</v>
      </c>
      <c r="AP15" s="138" t="s">
        <v>158</v>
      </c>
      <c r="AQ15">
        <v>11807544.039999999</v>
      </c>
      <c r="AR15">
        <v>4547378.75</v>
      </c>
      <c r="AS15">
        <v>413867.61000000004</v>
      </c>
      <c r="AT15">
        <v>1100217.42</v>
      </c>
      <c r="AU15">
        <v>32882.049999999988</v>
      </c>
      <c r="AV15"/>
      <c r="AW15">
        <v>137179.93000000002</v>
      </c>
      <c r="AX15">
        <v>156323.27999999997</v>
      </c>
      <c r="AY15">
        <v>151482.88</v>
      </c>
      <c r="AZ15">
        <v>24824.55</v>
      </c>
      <c r="BA15">
        <v>250490.22999999998</v>
      </c>
      <c r="BB15">
        <v>18622190.739999998</v>
      </c>
      <c r="BD15" s="138" t="s">
        <v>158</v>
      </c>
      <c r="BE15" s="139">
        <f t="shared" si="14"/>
        <v>-3.1965784728527069E-3</v>
      </c>
      <c r="BF15" s="140">
        <f t="shared" si="15"/>
        <v>8.8064996525645256E-3</v>
      </c>
      <c r="BG15" s="140">
        <f t="shared" si="16"/>
        <v>-1.3354289345443249E-2</v>
      </c>
      <c r="BH15" s="140">
        <f t="shared" si="17"/>
        <v>9.652979439124465E-3</v>
      </c>
      <c r="BI15" s="140">
        <f t="shared" si="18"/>
        <v>-2.6994370258762501E-2</v>
      </c>
      <c r="BJ15" s="140">
        <f t="shared" si="19"/>
        <v>0</v>
      </c>
      <c r="BK15" s="140">
        <f t="shared" si="20"/>
        <v>9.7815667686518282E-3</v>
      </c>
      <c r="BL15" s="140">
        <f t="shared" si="21"/>
        <v>-7.0426437887363136E-3</v>
      </c>
      <c r="BM15" s="140">
        <f t="shared" si="22"/>
        <v>-1.3346540072234347E-2</v>
      </c>
      <c r="BN15" s="140">
        <f t="shared" si="23"/>
        <v>4.7717586530779954E-3</v>
      </c>
      <c r="BO15" s="140">
        <f t="shared" si="24"/>
        <v>1.3353609625482932E-2</v>
      </c>
      <c r="BP15" s="140">
        <f t="shared" si="25"/>
        <v>-8.4879286587238312E-3</v>
      </c>
    </row>
    <row r="16" spans="1:68" ht="15" x14ac:dyDescent="0.25">
      <c r="A16" s="98">
        <v>10</v>
      </c>
      <c r="B16" s="124">
        <v>6</v>
      </c>
      <c r="C16" s="141" t="s">
        <v>401</v>
      </c>
      <c r="D16" s="126">
        <v>3.3700360443825956E-3</v>
      </c>
      <c r="E16" s="128">
        <f t="shared" si="1"/>
        <v>10321229.001841191</v>
      </c>
      <c r="F16" s="126">
        <v>3.3700360443825956E-3</v>
      </c>
      <c r="G16" s="128">
        <f t="shared" si="2"/>
        <v>3974961.871805877</v>
      </c>
      <c r="H16" s="126">
        <v>3.3700360443825956E-3</v>
      </c>
      <c r="I16" s="128">
        <f t="shared" si="3"/>
        <v>361770.59582480713</v>
      </c>
      <c r="J16" s="126">
        <v>3.3700360443825956E-3</v>
      </c>
      <c r="K16" s="128">
        <f t="shared" si="3"/>
        <v>961723.79352308798</v>
      </c>
      <c r="L16" s="126">
        <v>3.3700360443825956E-3</v>
      </c>
      <c r="M16" s="128">
        <f t="shared" si="4"/>
        <v>28742.885770917161</v>
      </c>
      <c r="N16" s="129" t="s">
        <v>391</v>
      </c>
      <c r="O16" s="128" t="str">
        <f t="shared" si="5"/>
        <v>NA</v>
      </c>
      <c r="P16" s="126">
        <v>3.3700360443825956E-3</v>
      </c>
      <c r="Q16" s="128">
        <f t="shared" si="6"/>
        <v>119911.94515397662</v>
      </c>
      <c r="R16" s="126">
        <v>3.3700360443825956E-3</v>
      </c>
      <c r="S16" s="128">
        <f t="shared" si="7"/>
        <v>136645.54571900624</v>
      </c>
      <c r="T16" s="126">
        <v>3.3700360443825956E-3</v>
      </c>
      <c r="U16" s="128">
        <f t="shared" si="8"/>
        <v>132414.46546528389</v>
      </c>
      <c r="V16" s="126">
        <v>3.3700360443825956E-3</v>
      </c>
      <c r="W16" s="128">
        <f t="shared" si="9"/>
        <v>21699.678939959751</v>
      </c>
      <c r="X16" s="131">
        <v>1.5888518732702262E-3</v>
      </c>
      <c r="Y16" s="128">
        <f t="shared" si="10"/>
        <v>182449.18729893424</v>
      </c>
      <c r="Z16" s="133" t="e">
        <f t="shared" si="11"/>
        <v>#VALUE!</v>
      </c>
      <c r="AA16" s="134">
        <v>3.6538445160907637E-3</v>
      </c>
      <c r="AB16" s="135">
        <f t="shared" si="12"/>
        <v>16241548.97134304</v>
      </c>
      <c r="AD16" s="142">
        <v>16108907</v>
      </c>
      <c r="AE16" s="137">
        <f t="shared" si="13"/>
        <v>-8.1668301205184424E-3</v>
      </c>
      <c r="AP16" s="138" t="s">
        <v>159</v>
      </c>
      <c r="AQ16">
        <v>10321229</v>
      </c>
      <c r="AR16">
        <v>3974961.8600000003</v>
      </c>
      <c r="AS16">
        <v>361770.60000000003</v>
      </c>
      <c r="AT16">
        <v>961723.83000000019</v>
      </c>
      <c r="AU16">
        <v>28742.889999999992</v>
      </c>
      <c r="AV16"/>
      <c r="AW16">
        <v>119911.95000000001</v>
      </c>
      <c r="AX16">
        <v>136645.56000000003</v>
      </c>
      <c r="AY16">
        <v>132414.45000000001</v>
      </c>
      <c r="AZ16">
        <v>21699.680000000004</v>
      </c>
      <c r="BA16">
        <v>182449.19999999995</v>
      </c>
      <c r="BB16">
        <v>16241549.02</v>
      </c>
      <c r="BD16" s="138" t="s">
        <v>159</v>
      </c>
      <c r="BE16" s="139">
        <f t="shared" si="14"/>
        <v>1.8411912024021149E-3</v>
      </c>
      <c r="BF16" s="140">
        <f t="shared" si="15"/>
        <v>-1.180587662383914E-2</v>
      </c>
      <c r="BG16" s="140">
        <f t="shared" si="16"/>
        <v>-4.1751929093152285E-3</v>
      </c>
      <c r="BH16" s="140">
        <f t="shared" si="17"/>
        <v>-3.6476912209764123E-2</v>
      </c>
      <c r="BI16" s="140">
        <f t="shared" si="18"/>
        <v>-4.2290828314435203E-3</v>
      </c>
      <c r="BJ16" s="140">
        <f t="shared" si="19"/>
        <v>0</v>
      </c>
      <c r="BK16" s="140">
        <f t="shared" si="20"/>
        <v>-4.8460233956575394E-3</v>
      </c>
      <c r="BL16" s="140">
        <f t="shared" si="21"/>
        <v>-1.4280993782449514E-2</v>
      </c>
      <c r="BM16" s="140">
        <f t="shared" si="22"/>
        <v>-1.5465283882804215E-2</v>
      </c>
      <c r="BN16" s="140">
        <f t="shared" si="23"/>
        <v>-1.0600402529234998E-3</v>
      </c>
      <c r="BO16" s="140">
        <f t="shared" si="24"/>
        <v>-1.2701065716100857E-2</v>
      </c>
      <c r="BP16" s="140">
        <f t="shared" si="25"/>
        <v>-4.865695908665657E-2</v>
      </c>
    </row>
    <row r="17" spans="1:68" ht="15" x14ac:dyDescent="0.25">
      <c r="A17" s="98">
        <v>11</v>
      </c>
      <c r="B17" s="124">
        <v>1</v>
      </c>
      <c r="C17" s="141" t="s">
        <v>402</v>
      </c>
      <c r="D17" s="126">
        <v>4.9939204118972669E-3</v>
      </c>
      <c r="E17" s="128">
        <f t="shared" si="1"/>
        <v>15294612.730945952</v>
      </c>
      <c r="F17" s="126">
        <v>4.9939204118972669E-3</v>
      </c>
      <c r="G17" s="128">
        <f t="shared" si="2"/>
        <v>5890335.5829719193</v>
      </c>
      <c r="H17" s="126">
        <v>4.9939204118972669E-3</v>
      </c>
      <c r="I17" s="128">
        <f t="shared" si="3"/>
        <v>536093.24622067262</v>
      </c>
      <c r="J17" s="126">
        <v>4.9939204118972669E-3</v>
      </c>
      <c r="K17" s="128">
        <f t="shared" si="3"/>
        <v>1425139.6779829129</v>
      </c>
      <c r="L17" s="126">
        <v>4.9939204118972669E-3</v>
      </c>
      <c r="M17" s="128">
        <f t="shared" si="4"/>
        <v>42592.922466653254</v>
      </c>
      <c r="N17" s="129" t="s">
        <v>391</v>
      </c>
      <c r="O17" s="128" t="str">
        <f t="shared" si="5"/>
        <v>NA</v>
      </c>
      <c r="P17" s="126">
        <v>4.9939204118972669E-3</v>
      </c>
      <c r="Q17" s="128">
        <f t="shared" si="6"/>
        <v>177692.67231812578</v>
      </c>
      <c r="R17" s="126">
        <v>4.9939204118972669E-3</v>
      </c>
      <c r="S17" s="128">
        <f t="shared" si="7"/>
        <v>202489.51968880332</v>
      </c>
      <c r="T17" s="126">
        <v>4.9939204118972669E-3</v>
      </c>
      <c r="U17" s="128">
        <f t="shared" si="8"/>
        <v>196219.6526116663</v>
      </c>
      <c r="V17" s="126">
        <v>4.9939204118972669E-3</v>
      </c>
      <c r="W17" s="128">
        <f t="shared" si="9"/>
        <v>32155.878501808558</v>
      </c>
      <c r="X17" s="131">
        <v>3.863858228817226E-3</v>
      </c>
      <c r="Y17" s="128">
        <f t="shared" si="10"/>
        <v>443690.0667367031</v>
      </c>
      <c r="Z17" s="133" t="e">
        <f t="shared" si="11"/>
        <v>#VALUE!</v>
      </c>
      <c r="AA17" s="134">
        <v>5.0019385710959822E-3</v>
      </c>
      <c r="AB17" s="135">
        <f t="shared" si="12"/>
        <v>24241021.95044522</v>
      </c>
      <c r="AD17" s="136">
        <v>24044465</v>
      </c>
      <c r="AE17" s="137">
        <f t="shared" si="13"/>
        <v>-8.1084432350678748E-3</v>
      </c>
      <c r="AP17" s="138" t="s">
        <v>160</v>
      </c>
      <c r="AQ17">
        <v>15294612.719999999</v>
      </c>
      <c r="AR17">
        <v>5890335.5900000008</v>
      </c>
      <c r="AS17">
        <v>536093.25</v>
      </c>
      <c r="AT17">
        <v>1425139.7100000002</v>
      </c>
      <c r="AU17">
        <v>42592.930000000008</v>
      </c>
      <c r="AV17"/>
      <c r="AW17">
        <v>177692.66</v>
      </c>
      <c r="AX17">
        <v>202489.54000000004</v>
      </c>
      <c r="AY17">
        <v>196219.63999999996</v>
      </c>
      <c r="AZ17">
        <v>32155.890000000003</v>
      </c>
      <c r="BA17">
        <v>443690.06999999995</v>
      </c>
      <c r="BB17">
        <v>24241022</v>
      </c>
      <c r="BD17" s="138" t="s">
        <v>160</v>
      </c>
      <c r="BE17" s="139">
        <f t="shared" si="14"/>
        <v>1.094595342874527E-2</v>
      </c>
      <c r="BF17" s="140">
        <f t="shared" si="15"/>
        <v>7.0280814543366432E-3</v>
      </c>
      <c r="BG17" s="140">
        <f t="shared" si="16"/>
        <v>-3.7793273804709315E-3</v>
      </c>
      <c r="BH17" s="140">
        <f t="shared" si="17"/>
        <v>-3.2017087331041694E-2</v>
      </c>
      <c r="BI17" s="140">
        <f t="shared" si="18"/>
        <v>-7.5333467539167032E-3</v>
      </c>
      <c r="BJ17" s="140">
        <f t="shared" si="19"/>
        <v>0</v>
      </c>
      <c r="BK17" s="140">
        <f t="shared" si="20"/>
        <v>1.2318125780439004E-2</v>
      </c>
      <c r="BL17" s="140">
        <f t="shared" si="21"/>
        <v>-2.0311196713009849E-2</v>
      </c>
      <c r="BM17" s="140">
        <f t="shared" si="22"/>
        <v>-1.261166634503752E-2</v>
      </c>
      <c r="BN17" s="140">
        <f t="shared" si="23"/>
        <v>-1.1498191444843542E-2</v>
      </c>
      <c r="BO17" s="140">
        <f t="shared" si="24"/>
        <v>-3.2632968504913151E-3</v>
      </c>
      <c r="BP17" s="140">
        <f t="shared" si="25"/>
        <v>-4.9554780125617981E-2</v>
      </c>
    </row>
    <row r="18" spans="1:68" ht="15" x14ac:dyDescent="0.25">
      <c r="A18" s="98">
        <v>12</v>
      </c>
      <c r="B18" s="124">
        <v>5</v>
      </c>
      <c r="C18" s="141" t="s">
        <v>403</v>
      </c>
      <c r="D18" s="126">
        <v>3.6670017198249345E-3</v>
      </c>
      <c r="E18" s="128">
        <f t="shared" si="1"/>
        <v>11230729.880039768</v>
      </c>
      <c r="F18" s="126">
        <v>3.6670017198249345E-3</v>
      </c>
      <c r="G18" s="128">
        <f t="shared" si="2"/>
        <v>4325233.2699667336</v>
      </c>
      <c r="H18" s="126">
        <v>3.6670017198249345E-3</v>
      </c>
      <c r="I18" s="128">
        <f t="shared" si="3"/>
        <v>393649.61668079131</v>
      </c>
      <c r="J18" s="126">
        <v>3.6670017198249345E-3</v>
      </c>
      <c r="K18" s="128">
        <f t="shared" si="3"/>
        <v>1046470.3517709168</v>
      </c>
      <c r="L18" s="126">
        <v>3.6670017198249345E-3</v>
      </c>
      <c r="M18" s="128">
        <f t="shared" si="4"/>
        <v>31275.692653309474</v>
      </c>
      <c r="N18" s="129" t="s">
        <v>391</v>
      </c>
      <c r="O18" s="128" t="str">
        <f t="shared" si="5"/>
        <v>NA</v>
      </c>
      <c r="P18" s="126">
        <v>3.6670017198249345E-3</v>
      </c>
      <c r="Q18" s="128">
        <f t="shared" si="6"/>
        <v>130478.51812746515</v>
      </c>
      <c r="R18" s="126">
        <v>3.6670017198249345E-3</v>
      </c>
      <c r="S18" s="128">
        <f t="shared" si="7"/>
        <v>148686.67413609591</v>
      </c>
      <c r="T18" s="126">
        <v>3.6670017198249345E-3</v>
      </c>
      <c r="U18" s="128">
        <f t="shared" si="8"/>
        <v>144082.75347685569</v>
      </c>
      <c r="V18" s="126">
        <v>3.6670017198249345E-3</v>
      </c>
      <c r="W18" s="128">
        <f t="shared" si="9"/>
        <v>23611.842408961347</v>
      </c>
      <c r="X18" s="131">
        <v>1.8244336069974249E-3</v>
      </c>
      <c r="Y18" s="128">
        <f t="shared" si="10"/>
        <v>209501.23449357614</v>
      </c>
      <c r="Z18" s="133" t="e">
        <f t="shared" si="11"/>
        <v>#VALUE!</v>
      </c>
      <c r="AA18" s="134">
        <v>4.0367959089861009E-3</v>
      </c>
      <c r="AB18" s="135">
        <f t="shared" si="12"/>
        <v>17683719.833754472</v>
      </c>
      <c r="AD18" s="142">
        <v>17539390</v>
      </c>
      <c r="AE18" s="137">
        <f t="shared" si="13"/>
        <v>-8.1617349240614701E-3</v>
      </c>
      <c r="AP18" s="138" t="s">
        <v>404</v>
      </c>
      <c r="AQ18">
        <v>11230729.879999999</v>
      </c>
      <c r="AR18">
        <v>4325233.2699999996</v>
      </c>
      <c r="AS18">
        <v>393649.61</v>
      </c>
      <c r="AT18">
        <v>1046470.3899999999</v>
      </c>
      <c r="AU18">
        <v>31275.730000000007</v>
      </c>
      <c r="AV18"/>
      <c r="AW18">
        <v>130478.52</v>
      </c>
      <c r="AX18">
        <v>148686.68</v>
      </c>
      <c r="AY18">
        <v>144082.76</v>
      </c>
      <c r="AZ18">
        <v>23611.83</v>
      </c>
      <c r="BA18">
        <v>209501.24</v>
      </c>
      <c r="BB18">
        <v>17683719.909999996</v>
      </c>
      <c r="BD18" s="138" t="s">
        <v>404</v>
      </c>
      <c r="BE18" s="139">
        <f t="shared" si="14"/>
        <v>3.9769336581230164E-5</v>
      </c>
      <c r="BF18" s="140">
        <f t="shared" si="15"/>
        <v>3.3265911042690277E-5</v>
      </c>
      <c r="BG18" s="140">
        <f t="shared" si="16"/>
        <v>6.6807913244701922E-3</v>
      </c>
      <c r="BH18" s="140">
        <f t="shared" si="17"/>
        <v>-3.8229083060286939E-2</v>
      </c>
      <c r="BI18" s="140">
        <f t="shared" si="18"/>
        <v>-3.7346690533013316E-2</v>
      </c>
      <c r="BJ18" s="140">
        <f t="shared" si="19"/>
        <v>0</v>
      </c>
      <c r="BK18" s="140">
        <f t="shared" si="20"/>
        <v>-1.8725348490988836E-3</v>
      </c>
      <c r="BL18" s="140">
        <f t="shared" si="21"/>
        <v>-5.863904079888016E-3</v>
      </c>
      <c r="BM18" s="140">
        <f t="shared" si="22"/>
        <v>6.5231443149968982E-3</v>
      </c>
      <c r="BN18" s="140">
        <f t="shared" si="23"/>
        <v>1.2408961345499847E-2</v>
      </c>
      <c r="BO18" s="140">
        <f t="shared" si="24"/>
        <v>-5.5064238549675792E-3</v>
      </c>
      <c r="BP18" s="140">
        <f t="shared" si="25"/>
        <v>-7.6245523989200592E-2</v>
      </c>
    </row>
    <row r="19" spans="1:68" ht="15" x14ac:dyDescent="0.25">
      <c r="A19" s="98">
        <v>13</v>
      </c>
      <c r="B19" s="124">
        <v>2</v>
      </c>
      <c r="C19" s="143" t="s">
        <v>405</v>
      </c>
      <c r="D19" s="126">
        <v>7.6828160588081522E-3</v>
      </c>
      <c r="E19" s="128">
        <f t="shared" si="1"/>
        <v>23529749.497533731</v>
      </c>
      <c r="F19" s="126">
        <v>7.6828160588081522E-3</v>
      </c>
      <c r="G19" s="128">
        <f t="shared" si="2"/>
        <v>9061891.4752453789</v>
      </c>
      <c r="H19" s="126">
        <v>7.6828160588081522E-3</v>
      </c>
      <c r="I19" s="128">
        <f t="shared" si="3"/>
        <v>824743.98095543869</v>
      </c>
      <c r="J19" s="126">
        <v>7.6828160588081522E-3</v>
      </c>
      <c r="K19" s="128">
        <f t="shared" si="3"/>
        <v>2192483.07961962</v>
      </c>
      <c r="L19" s="126">
        <v>7.6828160588081522E-3</v>
      </c>
      <c r="M19" s="128">
        <f t="shared" si="4"/>
        <v>65526.392438852083</v>
      </c>
      <c r="N19" s="129" t="s">
        <v>391</v>
      </c>
      <c r="O19" s="128" t="str">
        <f t="shared" si="5"/>
        <v>NA</v>
      </c>
      <c r="P19" s="126">
        <v>7.6828160588081522E-3</v>
      </c>
      <c r="Q19" s="128">
        <f t="shared" si="6"/>
        <v>273368.41675848392</v>
      </c>
      <c r="R19" s="126">
        <v>7.6828160588081522E-3</v>
      </c>
      <c r="S19" s="128">
        <f t="shared" si="7"/>
        <v>311516.72539660224</v>
      </c>
      <c r="T19" s="126">
        <v>7.6828160588081522E-3</v>
      </c>
      <c r="U19" s="128">
        <f t="shared" si="8"/>
        <v>301870.9498347686</v>
      </c>
      <c r="V19" s="126">
        <v>7.6828160588081522E-3</v>
      </c>
      <c r="W19" s="128">
        <f t="shared" si="9"/>
        <v>49469.691016745979</v>
      </c>
      <c r="X19" s="131">
        <v>6.5173654285506045E-3</v>
      </c>
      <c r="Y19" s="128">
        <f t="shared" si="10"/>
        <v>748394.51416059874</v>
      </c>
      <c r="Z19" s="133" t="e">
        <f t="shared" si="11"/>
        <v>#VALUE!</v>
      </c>
      <c r="AA19" s="134">
        <v>5.7522862918998295E-3</v>
      </c>
      <c r="AB19" s="135">
        <f t="shared" si="12"/>
        <v>37359014.722960219</v>
      </c>
      <c r="AD19" s="136">
        <v>37056623</v>
      </c>
      <c r="AE19" s="137">
        <f t="shared" si="13"/>
        <v>-8.0942103319008307E-3</v>
      </c>
      <c r="AP19" s="138" t="s">
        <v>161</v>
      </c>
      <c r="AQ19">
        <v>23529749.510000002</v>
      </c>
      <c r="AR19">
        <v>9061891.4800000004</v>
      </c>
      <c r="AS19">
        <v>824743.9800000001</v>
      </c>
      <c r="AT19">
        <v>2192483.0500000003</v>
      </c>
      <c r="AU19">
        <v>65526.37999999999</v>
      </c>
      <c r="AV19"/>
      <c r="AW19">
        <v>273368.42</v>
      </c>
      <c r="AX19">
        <v>311516.73999999993</v>
      </c>
      <c r="AY19">
        <v>301870.96999999997</v>
      </c>
      <c r="AZ19">
        <v>49469.700000000004</v>
      </c>
      <c r="BA19">
        <v>748394.5</v>
      </c>
      <c r="BB19">
        <v>37359014.730000004</v>
      </c>
      <c r="BD19" s="138" t="s">
        <v>161</v>
      </c>
      <c r="BE19" s="139">
        <f t="shared" si="14"/>
        <v>-1.2466270476579666E-2</v>
      </c>
      <c r="BF19" s="140">
        <f t="shared" si="15"/>
        <v>4.7546215355396271E-3</v>
      </c>
      <c r="BG19" s="140">
        <f t="shared" si="16"/>
        <v>9.554385906085372E-4</v>
      </c>
      <c r="BH19" s="140">
        <f t="shared" si="17"/>
        <v>2.9619619715958834E-2</v>
      </c>
      <c r="BI19" s="140">
        <f t="shared" si="18"/>
        <v>1.2438852092600428E-2</v>
      </c>
      <c r="BJ19" s="140">
        <f t="shared" si="19"/>
        <v>0</v>
      </c>
      <c r="BK19" s="140">
        <f t="shared" si="20"/>
        <v>-3.2415160676464438E-3</v>
      </c>
      <c r="BL19" s="140">
        <f t="shared" si="21"/>
        <v>-1.4603397692553699E-2</v>
      </c>
      <c r="BM19" s="140">
        <f t="shared" si="22"/>
        <v>2.0165231369901448E-2</v>
      </c>
      <c r="BN19" s="140">
        <f t="shared" si="23"/>
        <v>-8.9832540252245963E-3</v>
      </c>
      <c r="BO19" s="140">
        <f t="shared" si="24"/>
        <v>1.4160598744638264E-2</v>
      </c>
      <c r="BP19" s="140">
        <f t="shared" si="25"/>
        <v>-7.0397853851318359E-3</v>
      </c>
    </row>
    <row r="20" spans="1:68" ht="15" x14ac:dyDescent="0.25">
      <c r="A20" s="98">
        <v>14</v>
      </c>
      <c r="B20" s="124">
        <v>6</v>
      </c>
      <c r="C20" s="141" t="s">
        <v>406</v>
      </c>
      <c r="D20" s="126">
        <v>3.0513240548000441E-3</v>
      </c>
      <c r="E20" s="128">
        <f t="shared" si="1"/>
        <v>9345126.8513620906</v>
      </c>
      <c r="F20" s="126">
        <v>3.0513240548000441E-3</v>
      </c>
      <c r="G20" s="128">
        <f t="shared" si="2"/>
        <v>3599040.6679986548</v>
      </c>
      <c r="H20" s="126">
        <v>3.0513240548000441E-3</v>
      </c>
      <c r="I20" s="128">
        <f t="shared" si="3"/>
        <v>327557.12604308763</v>
      </c>
      <c r="J20" s="126">
        <v>3.0513240548000441E-3</v>
      </c>
      <c r="K20" s="128">
        <f t="shared" si="3"/>
        <v>870771.3824432306</v>
      </c>
      <c r="L20" s="126">
        <v>3.0513240548000441E-3</v>
      </c>
      <c r="M20" s="128">
        <f t="shared" si="4"/>
        <v>26024.605553807109</v>
      </c>
      <c r="N20" s="129" t="s">
        <v>391</v>
      </c>
      <c r="O20" s="128" t="str">
        <f t="shared" si="5"/>
        <v>NA</v>
      </c>
      <c r="P20" s="126">
        <v>3.0513240548000441E-3</v>
      </c>
      <c r="Q20" s="128">
        <f t="shared" si="6"/>
        <v>108571.59920176018</v>
      </c>
      <c r="R20" s="126">
        <v>3.0513240548000441E-3</v>
      </c>
      <c r="S20" s="128">
        <f t="shared" si="7"/>
        <v>123722.66502273268</v>
      </c>
      <c r="T20" s="126">
        <v>3.0513240548000441E-3</v>
      </c>
      <c r="U20" s="128">
        <f t="shared" si="8"/>
        <v>119891.72767193122</v>
      </c>
      <c r="V20" s="126">
        <v>3.0513240548000441E-3</v>
      </c>
      <c r="W20" s="128">
        <f t="shared" si="9"/>
        <v>19647.490845477754</v>
      </c>
      <c r="X20" s="131">
        <v>8.7367757215465222E-4</v>
      </c>
      <c r="Y20" s="128">
        <f t="shared" si="10"/>
        <v>100325.12513129147</v>
      </c>
      <c r="Z20" s="133" t="e">
        <f t="shared" si="11"/>
        <v>#VALUE!</v>
      </c>
      <c r="AA20" s="134">
        <v>3.3445273864077148E-3</v>
      </c>
      <c r="AB20" s="135">
        <f t="shared" si="12"/>
        <v>14640679.241274063</v>
      </c>
      <c r="AD20" s="142">
        <v>14520581</v>
      </c>
      <c r="AE20" s="137">
        <f t="shared" si="13"/>
        <v>-8.2030511901038938E-3</v>
      </c>
      <c r="AP20" s="138" t="s">
        <v>407</v>
      </c>
      <c r="AQ20">
        <v>9345126.8399999999</v>
      </c>
      <c r="AR20">
        <v>3599040.6799999997</v>
      </c>
      <c r="AS20">
        <v>327557.12</v>
      </c>
      <c r="AT20">
        <v>870771.39999999991</v>
      </c>
      <c r="AU20">
        <v>26024.65</v>
      </c>
      <c r="AV20"/>
      <c r="AW20">
        <v>108571.62</v>
      </c>
      <c r="AX20">
        <v>123722.67000000001</v>
      </c>
      <c r="AY20">
        <v>119891.73000000003</v>
      </c>
      <c r="AZ20">
        <v>19647.490000000002</v>
      </c>
      <c r="BA20">
        <v>100325.12</v>
      </c>
      <c r="BB20">
        <v>14640679.319999998</v>
      </c>
      <c r="BD20" s="138" t="s">
        <v>407</v>
      </c>
      <c r="BE20" s="139">
        <f t="shared" si="14"/>
        <v>1.1362090706825256E-2</v>
      </c>
      <c r="BF20" s="140">
        <f t="shared" si="15"/>
        <v>1.2001344934105873E-2</v>
      </c>
      <c r="BG20" s="140">
        <f t="shared" si="16"/>
        <v>6.0430876328609884E-3</v>
      </c>
      <c r="BH20" s="140">
        <f t="shared" si="17"/>
        <v>-1.755676930770278E-2</v>
      </c>
      <c r="BI20" s="140">
        <f t="shared" si="18"/>
        <v>-4.4446192892792169E-2</v>
      </c>
      <c r="BJ20" s="140">
        <f t="shared" si="19"/>
        <v>0</v>
      </c>
      <c r="BK20" s="140">
        <f t="shared" si="20"/>
        <v>-2.0798239813302644E-2</v>
      </c>
      <c r="BL20" s="140">
        <f t="shared" si="21"/>
        <v>-4.9772673373809084E-3</v>
      </c>
      <c r="BM20" s="140">
        <f t="shared" si="22"/>
        <v>2.3280688037630171E-3</v>
      </c>
      <c r="BN20" s="140">
        <f t="shared" si="23"/>
        <v>8.4547775259125046E-4</v>
      </c>
      <c r="BO20" s="140">
        <f t="shared" si="24"/>
        <v>5.1312914729351178E-3</v>
      </c>
      <c r="BP20" s="140">
        <f t="shared" si="25"/>
        <v>-7.8725935891270638E-2</v>
      </c>
    </row>
    <row r="21" spans="1:68" ht="15" x14ac:dyDescent="0.25">
      <c r="A21" s="98">
        <v>15</v>
      </c>
      <c r="B21" s="124">
        <v>3</v>
      </c>
      <c r="C21" s="143" t="s">
        <v>408</v>
      </c>
      <c r="D21" s="126">
        <v>4.1857812413180571E-3</v>
      </c>
      <c r="E21" s="128">
        <f t="shared" si="1"/>
        <v>12819568.151286528</v>
      </c>
      <c r="F21" s="126">
        <v>4.1857812413180571E-3</v>
      </c>
      <c r="G21" s="128">
        <f t="shared" si="2"/>
        <v>4937134.3863497935</v>
      </c>
      <c r="H21" s="126">
        <v>4.1857812413180571E-3</v>
      </c>
      <c r="I21" s="128">
        <f t="shared" si="3"/>
        <v>449340.1713575318</v>
      </c>
      <c r="J21" s="126">
        <v>4.1857812413180571E-3</v>
      </c>
      <c r="K21" s="128">
        <f t="shared" si="3"/>
        <v>1194517.0203648913</v>
      </c>
      <c r="L21" s="126">
        <v>4.1857812413180571E-3</v>
      </c>
      <c r="M21" s="128">
        <f t="shared" si="4"/>
        <v>35700.339847045849</v>
      </c>
      <c r="N21" s="129" t="s">
        <v>391</v>
      </c>
      <c r="O21" s="128" t="str">
        <f t="shared" si="5"/>
        <v>NA</v>
      </c>
      <c r="P21" s="126">
        <v>4.1857812413180571E-3</v>
      </c>
      <c r="Q21" s="128">
        <f t="shared" si="6"/>
        <v>148937.62678654963</v>
      </c>
      <c r="R21" s="126">
        <v>4.1857812413180571E-3</v>
      </c>
      <c r="S21" s="128">
        <f t="shared" si="7"/>
        <v>169721.73426265898</v>
      </c>
      <c r="T21" s="126">
        <v>4.1857812413180571E-3</v>
      </c>
      <c r="U21" s="128">
        <f t="shared" si="8"/>
        <v>164466.48591418416</v>
      </c>
      <c r="V21" s="126">
        <v>4.1857812413180571E-3</v>
      </c>
      <c r="W21" s="128">
        <f t="shared" si="9"/>
        <v>26952.266341753173</v>
      </c>
      <c r="X21" s="131">
        <v>2.9278997263421274E-3</v>
      </c>
      <c r="Y21" s="128">
        <f t="shared" si="10"/>
        <v>336213.17037213797</v>
      </c>
      <c r="Z21" s="133" t="e">
        <f t="shared" si="11"/>
        <v>#VALUE!</v>
      </c>
      <c r="AA21" s="134">
        <v>4.4183503820794199E-3</v>
      </c>
      <c r="AB21" s="135">
        <f t="shared" si="12"/>
        <v>20282551.352883078</v>
      </c>
      <c r="AD21" s="136">
        <v>20117801</v>
      </c>
      <c r="AE21" s="137">
        <f t="shared" si="13"/>
        <v>-8.1227627637515676E-3</v>
      </c>
      <c r="AP21" s="138" t="s">
        <v>162</v>
      </c>
      <c r="AQ21">
        <v>12819568.15</v>
      </c>
      <c r="AR21">
        <v>4937134.3899999997</v>
      </c>
      <c r="AS21">
        <v>449340.17</v>
      </c>
      <c r="AT21">
        <v>1194517.04</v>
      </c>
      <c r="AU21">
        <v>35700.369999999995</v>
      </c>
      <c r="AV21"/>
      <c r="AW21">
        <v>148937.63</v>
      </c>
      <c r="AX21">
        <v>169721.72999999998</v>
      </c>
      <c r="AY21">
        <v>164466.48000000001</v>
      </c>
      <c r="AZ21">
        <v>26952.27</v>
      </c>
      <c r="BA21">
        <v>336213.16</v>
      </c>
      <c r="BB21">
        <v>20282551.390000004</v>
      </c>
      <c r="BD21" s="138" t="s">
        <v>162</v>
      </c>
      <c r="BE21" s="139">
        <f t="shared" si="14"/>
        <v>1.2865271419286728E-3</v>
      </c>
      <c r="BF21" s="140">
        <f t="shared" si="15"/>
        <v>3.6502061411738396E-3</v>
      </c>
      <c r="BG21" s="140">
        <f t="shared" si="16"/>
        <v>1.3575318153016269E-3</v>
      </c>
      <c r="BH21" s="140">
        <f t="shared" si="17"/>
        <v>-1.9635108765214682E-2</v>
      </c>
      <c r="BI21" s="140">
        <f t="shared" si="18"/>
        <v>-3.015295414661523E-2</v>
      </c>
      <c r="BJ21" s="140">
        <f t="shared" si="19"/>
        <v>0</v>
      </c>
      <c r="BK21" s="140">
        <f t="shared" si="20"/>
        <v>-3.2134503708221018E-3</v>
      </c>
      <c r="BL21" s="140">
        <f t="shared" si="21"/>
        <v>4.2626590002328157E-3</v>
      </c>
      <c r="BM21" s="140">
        <f t="shared" si="22"/>
        <v>-5.9141841484233737E-3</v>
      </c>
      <c r="BN21" s="140">
        <f t="shared" si="23"/>
        <v>-3.6582468273991253E-3</v>
      </c>
      <c r="BO21" s="140">
        <f t="shared" si="24"/>
        <v>1.03721380000934E-2</v>
      </c>
      <c r="BP21" s="140">
        <f t="shared" si="25"/>
        <v>-3.7116926163434982E-2</v>
      </c>
    </row>
    <row r="22" spans="1:68" ht="15" x14ac:dyDescent="0.25">
      <c r="A22" s="98">
        <v>16</v>
      </c>
      <c r="B22" s="124">
        <v>6</v>
      </c>
      <c r="C22" s="141" t="s">
        <v>409</v>
      </c>
      <c r="D22" s="126">
        <v>3.4587350840298574E-3</v>
      </c>
      <c r="E22" s="128">
        <f t="shared" si="1"/>
        <v>10592882.802686667</v>
      </c>
      <c r="F22" s="126">
        <v>3.4587350840298574E-3</v>
      </c>
      <c r="G22" s="128">
        <f t="shared" si="2"/>
        <v>4079582.5037576803</v>
      </c>
      <c r="H22" s="126">
        <v>3.4587350840298574E-3</v>
      </c>
      <c r="I22" s="128">
        <f t="shared" si="3"/>
        <v>371292.36473163101</v>
      </c>
      <c r="J22" s="126">
        <v>3.4587350840298574E-3</v>
      </c>
      <c r="K22" s="128">
        <f t="shared" si="3"/>
        <v>987036.27557609451</v>
      </c>
      <c r="L22" s="126">
        <v>3.4587350840298574E-3</v>
      </c>
      <c r="M22" s="128">
        <f t="shared" si="4"/>
        <v>29499.395888611871</v>
      </c>
      <c r="N22" s="129" t="s">
        <v>391</v>
      </c>
      <c r="O22" s="128" t="str">
        <f t="shared" si="5"/>
        <v>NA</v>
      </c>
      <c r="P22" s="126">
        <v>3.4587350840298574E-3</v>
      </c>
      <c r="Q22" s="128">
        <f t="shared" si="6"/>
        <v>123068.01655419852</v>
      </c>
      <c r="R22" s="126">
        <v>3.4587350840298574E-3</v>
      </c>
      <c r="S22" s="128">
        <f t="shared" si="7"/>
        <v>140242.04395158595</v>
      </c>
      <c r="T22" s="126">
        <v>3.4587350840298574E-3</v>
      </c>
      <c r="U22" s="128">
        <f t="shared" si="8"/>
        <v>135899.60205358645</v>
      </c>
      <c r="V22" s="126">
        <v>3.4587350840298574E-3</v>
      </c>
      <c r="W22" s="128">
        <f t="shared" si="9"/>
        <v>22270.812499743668</v>
      </c>
      <c r="X22" s="131">
        <v>1.5997735931283768E-3</v>
      </c>
      <c r="Y22" s="128">
        <f t="shared" si="10"/>
        <v>183703.33750988176</v>
      </c>
      <c r="Z22" s="133" t="e">
        <f t="shared" si="11"/>
        <v>#VALUE!</v>
      </c>
      <c r="AA22" s="134">
        <v>3.7662736377378852E-3</v>
      </c>
      <c r="AB22" s="135">
        <f t="shared" si="12"/>
        <v>16665477.155209679</v>
      </c>
      <c r="AD22" s="142">
        <v>16529342</v>
      </c>
      <c r="AE22" s="137">
        <f t="shared" si="13"/>
        <v>-8.1686923177667348E-3</v>
      </c>
      <c r="AP22" s="138" t="s">
        <v>163</v>
      </c>
      <c r="AQ22">
        <v>10592882.810000002</v>
      </c>
      <c r="AR22">
        <v>4079582.4899999993</v>
      </c>
      <c r="AS22">
        <v>371292.34</v>
      </c>
      <c r="AT22">
        <v>987036.26999999979</v>
      </c>
      <c r="AU22">
        <v>29499.369999999995</v>
      </c>
      <c r="AV22"/>
      <c r="AW22">
        <v>123068.00000000001</v>
      </c>
      <c r="AX22">
        <v>140242.04999999999</v>
      </c>
      <c r="AY22">
        <v>135899.6</v>
      </c>
      <c r="AZ22">
        <v>22270.81</v>
      </c>
      <c r="BA22">
        <v>183703.33</v>
      </c>
      <c r="BB22">
        <v>16665477.070000002</v>
      </c>
      <c r="BD22" s="138" t="s">
        <v>163</v>
      </c>
      <c r="BE22" s="139">
        <f t="shared" si="14"/>
        <v>-7.3133353143930435E-3</v>
      </c>
      <c r="BF22" s="140">
        <f t="shared" si="15"/>
        <v>-1.3757681008428335E-2</v>
      </c>
      <c r="BG22" s="140">
        <f t="shared" si="16"/>
        <v>2.4731630983296782E-2</v>
      </c>
      <c r="BH22" s="140">
        <f t="shared" si="17"/>
        <v>5.5760947288945317E-3</v>
      </c>
      <c r="BI22" s="140">
        <f t="shared" si="18"/>
        <v>2.5888611875416245E-2</v>
      </c>
      <c r="BJ22" s="140">
        <f t="shared" si="19"/>
        <v>0</v>
      </c>
      <c r="BK22" s="140">
        <f t="shared" si="20"/>
        <v>1.655419850430917E-2</v>
      </c>
      <c r="BL22" s="140">
        <f t="shared" si="21"/>
        <v>-6.048414041288197E-3</v>
      </c>
      <c r="BM22" s="140">
        <f t="shared" si="22"/>
        <v>-2.0535864459816366E-3</v>
      </c>
      <c r="BN22" s="140">
        <f t="shared" si="23"/>
        <v>2.4997436667035799E-3</v>
      </c>
      <c r="BO22" s="140">
        <f t="shared" si="24"/>
        <v>7.5098817760590464E-3</v>
      </c>
      <c r="BP22" s="140">
        <f t="shared" si="25"/>
        <v>8.5209676995873451E-2</v>
      </c>
    </row>
    <row r="23" spans="1:68" ht="15" x14ac:dyDescent="0.25">
      <c r="A23" s="98">
        <v>17</v>
      </c>
      <c r="B23" s="124">
        <v>6</v>
      </c>
      <c r="C23" s="141" t="s">
        <v>410</v>
      </c>
      <c r="D23" s="126">
        <v>3.9408073033234247E-3</v>
      </c>
      <c r="E23" s="128">
        <f t="shared" si="1"/>
        <v>12069299.584355321</v>
      </c>
      <c r="F23" s="126">
        <v>3.9408073033234247E-3</v>
      </c>
      <c r="G23" s="128">
        <f t="shared" si="2"/>
        <v>4648187.3097338229</v>
      </c>
      <c r="H23" s="126">
        <v>3.9408073033234247E-3</v>
      </c>
      <c r="I23" s="128">
        <f t="shared" si="3"/>
        <v>423042.42072735901</v>
      </c>
      <c r="J23" s="126">
        <v>3.9408073033234247E-3</v>
      </c>
      <c r="K23" s="128">
        <f t="shared" si="3"/>
        <v>1124607.6004477965</v>
      </c>
      <c r="L23" s="126">
        <v>3.9408073033234247E-3</v>
      </c>
      <c r="M23" s="128">
        <f t="shared" si="4"/>
        <v>33610.968153716836</v>
      </c>
      <c r="N23" s="129" t="s">
        <v>391</v>
      </c>
      <c r="O23" s="128" t="str">
        <f t="shared" si="5"/>
        <v>NA</v>
      </c>
      <c r="P23" s="126">
        <v>3.9408073033234247E-3</v>
      </c>
      <c r="Q23" s="128">
        <f t="shared" si="6"/>
        <v>140221.01336458616</v>
      </c>
      <c r="R23" s="126">
        <v>3.9408073033234247E-3</v>
      </c>
      <c r="S23" s="128">
        <f t="shared" si="7"/>
        <v>159788.7255341594</v>
      </c>
      <c r="T23" s="126">
        <v>3.9408073033234247E-3</v>
      </c>
      <c r="U23" s="128">
        <f t="shared" si="8"/>
        <v>154841.04196483683</v>
      </c>
      <c r="V23" s="126">
        <v>3.9408073033234247E-3</v>
      </c>
      <c r="W23" s="128">
        <f t="shared" si="9"/>
        <v>25374.877930136045</v>
      </c>
      <c r="X23" s="131">
        <v>2.6292213480705821E-3</v>
      </c>
      <c r="Y23" s="128">
        <f t="shared" si="10"/>
        <v>301915.68279877061</v>
      </c>
      <c r="Z23" s="133" t="e">
        <f t="shared" si="11"/>
        <v>#VALUE!</v>
      </c>
      <c r="AA23" s="134">
        <v>4.3170410135580555E-3</v>
      </c>
      <c r="AB23" s="135">
        <f t="shared" si="12"/>
        <v>19080889.225010499</v>
      </c>
      <c r="AD23" s="136">
        <v>18925782</v>
      </c>
      <c r="AE23" s="137">
        <f t="shared" si="13"/>
        <v>-8.1289306374249248E-3</v>
      </c>
      <c r="AP23" s="138" t="s">
        <v>164</v>
      </c>
      <c r="AQ23">
        <v>12069299.59</v>
      </c>
      <c r="AR23">
        <v>4648187.2999999989</v>
      </c>
      <c r="AS23">
        <v>423042.41000000003</v>
      </c>
      <c r="AT23">
        <v>1124607.6099999999</v>
      </c>
      <c r="AU23">
        <v>33610.93</v>
      </c>
      <c r="AV23"/>
      <c r="AW23">
        <v>140221</v>
      </c>
      <c r="AX23">
        <v>159788.74</v>
      </c>
      <c r="AY23">
        <v>154841.04</v>
      </c>
      <c r="AZ23">
        <v>25374.860000000004</v>
      </c>
      <c r="BA23">
        <v>301915.69000000006</v>
      </c>
      <c r="BB23">
        <v>19080889.169999998</v>
      </c>
      <c r="BD23" s="138" t="s">
        <v>164</v>
      </c>
      <c r="BE23" s="139">
        <f t="shared" si="14"/>
        <v>-5.644679069519043E-3</v>
      </c>
      <c r="BF23" s="140">
        <f t="shared" si="15"/>
        <v>-9.7338240593671799E-3</v>
      </c>
      <c r="BG23" s="140">
        <f t="shared" si="16"/>
        <v>1.0727358981966972E-2</v>
      </c>
      <c r="BH23" s="140">
        <f t="shared" si="17"/>
        <v>-9.5522033516317606E-3</v>
      </c>
      <c r="BI23" s="140">
        <f t="shared" si="18"/>
        <v>3.8153716835950036E-2</v>
      </c>
      <c r="BJ23" s="140">
        <f t="shared" si="19"/>
        <v>0</v>
      </c>
      <c r="BK23" s="140">
        <f t="shared" si="20"/>
        <v>1.3364586164243519E-2</v>
      </c>
      <c r="BL23" s="140">
        <f t="shared" si="21"/>
        <v>-1.4465840591583401E-2</v>
      </c>
      <c r="BM23" s="140">
        <f t="shared" si="22"/>
        <v>-1.9648368179332465E-3</v>
      </c>
      <c r="BN23" s="140">
        <f t="shared" si="23"/>
        <v>1.7930136040376965E-2</v>
      </c>
      <c r="BO23" s="140">
        <f t="shared" si="24"/>
        <v>-7.2012294549494982E-3</v>
      </c>
      <c r="BP23" s="140">
        <f t="shared" si="25"/>
        <v>5.501050129532814E-2</v>
      </c>
    </row>
    <row r="24" spans="1:68" ht="15" x14ac:dyDescent="0.25">
      <c r="A24" s="98">
        <v>18</v>
      </c>
      <c r="B24" s="124">
        <v>7</v>
      </c>
      <c r="C24" s="141" t="s">
        <v>411</v>
      </c>
      <c r="D24" s="126">
        <v>3.5395172382897302E-3</v>
      </c>
      <c r="E24" s="128">
        <f t="shared" si="1"/>
        <v>10840289.982431225</v>
      </c>
      <c r="F24" s="126">
        <v>3.5395172382897302E-3</v>
      </c>
      <c r="G24" s="128">
        <f t="shared" si="2"/>
        <v>4174865.159158526</v>
      </c>
      <c r="H24" s="126">
        <v>3.5395172382897302E-3</v>
      </c>
      <c r="I24" s="128">
        <f t="shared" ref="I24:K39" si="26">H24*I$113</f>
        <v>379964.26250771544</v>
      </c>
      <c r="J24" s="126">
        <v>3.5395172382897302E-3</v>
      </c>
      <c r="K24" s="128">
        <f t="shared" si="26"/>
        <v>1010089.4770316907</v>
      </c>
      <c r="L24" s="126">
        <v>3.5395172382897302E-3</v>
      </c>
      <c r="M24" s="128">
        <f t="shared" si="4"/>
        <v>30188.383247097387</v>
      </c>
      <c r="N24" s="129" t="s">
        <v>391</v>
      </c>
      <c r="O24" s="128" t="str">
        <f t="shared" si="5"/>
        <v>NA</v>
      </c>
      <c r="P24" s="126">
        <v>3.5395172382897302E-3</v>
      </c>
      <c r="Q24" s="128">
        <f t="shared" si="6"/>
        <v>125942.39092986031</v>
      </c>
      <c r="R24" s="126">
        <v>3.5395172382897302E-3</v>
      </c>
      <c r="S24" s="128">
        <f t="shared" si="7"/>
        <v>143517.53460148477</v>
      </c>
      <c r="T24" s="126">
        <v>3.5395172382897302E-3</v>
      </c>
      <c r="U24" s="128">
        <f t="shared" si="8"/>
        <v>139073.67070881202</v>
      </c>
      <c r="V24" s="126">
        <v>3.5395172382897302E-3</v>
      </c>
      <c r="W24" s="128">
        <f t="shared" si="9"/>
        <v>22790.969194933761</v>
      </c>
      <c r="X24" s="131">
        <v>1.7271685504444139E-3</v>
      </c>
      <c r="Y24" s="128">
        <f t="shared" si="10"/>
        <v>198332.20683327166</v>
      </c>
      <c r="Z24" s="133" t="e">
        <f t="shared" si="11"/>
        <v>#VALUE!</v>
      </c>
      <c r="AA24" s="134">
        <v>3.797660644718804E-3</v>
      </c>
      <c r="AB24" s="135">
        <f t="shared" si="12"/>
        <v>17065054.036644623</v>
      </c>
      <c r="AD24" s="142">
        <v>16925740</v>
      </c>
      <c r="AE24" s="137">
        <f t="shared" si="13"/>
        <v>-8.1637032232928508E-3</v>
      </c>
      <c r="AP24" s="138" t="s">
        <v>165</v>
      </c>
      <c r="AQ24">
        <v>10840290.000000002</v>
      </c>
      <c r="AR24">
        <v>4174865.1599999997</v>
      </c>
      <c r="AS24">
        <v>379964.26999999996</v>
      </c>
      <c r="AT24">
        <v>1010089.48</v>
      </c>
      <c r="AU24">
        <v>30188.410000000003</v>
      </c>
      <c r="AV24"/>
      <c r="AW24">
        <v>125942.38</v>
      </c>
      <c r="AX24">
        <v>143517.52000000002</v>
      </c>
      <c r="AY24">
        <v>139073.68</v>
      </c>
      <c r="AZ24">
        <v>22790.969999999998</v>
      </c>
      <c r="BA24">
        <v>198332.21000000002</v>
      </c>
      <c r="BB24">
        <v>17065054.080000002</v>
      </c>
      <c r="BD24" s="138" t="s">
        <v>165</v>
      </c>
      <c r="BE24" s="139">
        <f t="shared" si="14"/>
        <v>-1.756877638399601E-2</v>
      </c>
      <c r="BF24" s="140">
        <f t="shared" si="15"/>
        <v>8.4147369489073753E-4</v>
      </c>
      <c r="BG24" s="140">
        <f t="shared" si="16"/>
        <v>-7.4922845233231783E-3</v>
      </c>
      <c r="BH24" s="140">
        <f t="shared" si="17"/>
        <v>-2.9683093307539821E-3</v>
      </c>
      <c r="BI24" s="140">
        <f t="shared" si="18"/>
        <v>-2.6752902616863139E-2</v>
      </c>
      <c r="BJ24" s="140">
        <f t="shared" si="19"/>
        <v>0</v>
      </c>
      <c r="BK24" s="140">
        <f t="shared" si="20"/>
        <v>1.0929860305623151E-2</v>
      </c>
      <c r="BL24" s="140">
        <f t="shared" si="21"/>
        <v>1.4601484755985439E-2</v>
      </c>
      <c r="BM24" s="140">
        <f t="shared" si="22"/>
        <v>9.2911879764869809E-3</v>
      </c>
      <c r="BN24" s="140">
        <f t="shared" si="23"/>
        <v>-8.0506623635301366E-4</v>
      </c>
      <c r="BO24" s="140">
        <f t="shared" si="24"/>
        <v>-3.1667283619754016E-3</v>
      </c>
      <c r="BP24" s="140">
        <f t="shared" si="25"/>
        <v>-4.335537925362587E-2</v>
      </c>
    </row>
    <row r="25" spans="1:68" ht="15" x14ac:dyDescent="0.25">
      <c r="A25" s="98">
        <v>19</v>
      </c>
      <c r="B25" s="124">
        <v>6</v>
      </c>
      <c r="C25" s="141" t="s">
        <v>412</v>
      </c>
      <c r="D25" s="126">
        <v>1.4196075335385555E-2</v>
      </c>
      <c r="E25" s="128">
        <f t="shared" si="1"/>
        <v>43477560.042164788</v>
      </c>
      <c r="F25" s="126">
        <v>1.4196075335385555E-2</v>
      </c>
      <c r="G25" s="128">
        <f t="shared" si="2"/>
        <v>16744289.21361267</v>
      </c>
      <c r="H25" s="126">
        <v>1.4196075335385555E-2</v>
      </c>
      <c r="I25" s="128">
        <f t="shared" si="26"/>
        <v>1523937.0038836384</v>
      </c>
      <c r="J25" s="126">
        <v>1.4196075335385555E-2</v>
      </c>
      <c r="K25" s="128">
        <f t="shared" si="26"/>
        <v>4051203.9767182288</v>
      </c>
      <c r="L25" s="126">
        <v>1.4196075335385555E-2</v>
      </c>
      <c r="M25" s="128">
        <f t="shared" si="4"/>
        <v>121077.6877121133</v>
      </c>
      <c r="N25" s="129" t="s">
        <v>391</v>
      </c>
      <c r="O25" s="128" t="str">
        <f t="shared" si="5"/>
        <v>NA</v>
      </c>
      <c r="P25" s="126">
        <v>1.4196075335385555E-2</v>
      </c>
      <c r="Q25" s="128">
        <f t="shared" si="6"/>
        <v>505121.89917254652</v>
      </c>
      <c r="R25" s="126">
        <v>1.4196075335385555E-2</v>
      </c>
      <c r="S25" s="128">
        <f t="shared" si="7"/>
        <v>575611.1910153972</v>
      </c>
      <c r="T25" s="126">
        <v>1.4196075335385555E-2</v>
      </c>
      <c r="U25" s="128">
        <f t="shared" si="8"/>
        <v>557788.01843182067</v>
      </c>
      <c r="V25" s="126">
        <v>1.4196075335385555E-2</v>
      </c>
      <c r="W25" s="128">
        <f t="shared" si="9"/>
        <v>91408.600064924249</v>
      </c>
      <c r="X25" s="131">
        <v>2.2661912873688586E-2</v>
      </c>
      <c r="Y25" s="128">
        <f t="shared" si="10"/>
        <v>2602286.3779829098</v>
      </c>
      <c r="Z25" s="133" t="e">
        <f t="shared" si="11"/>
        <v>#VALUE!</v>
      </c>
      <c r="AA25" s="134">
        <v>1.3856428424242274E-2</v>
      </c>
      <c r="AB25" s="135">
        <f t="shared" si="12"/>
        <v>70250284.010759041</v>
      </c>
      <c r="AD25" s="136">
        <v>69691534</v>
      </c>
      <c r="AE25" s="137">
        <f t="shared" si="13"/>
        <v>-7.9537046522611954E-3</v>
      </c>
      <c r="AP25" s="138" t="s">
        <v>166</v>
      </c>
      <c r="AQ25">
        <v>43477560.050000004</v>
      </c>
      <c r="AR25">
        <v>16744289.199999999</v>
      </c>
      <c r="AS25">
        <v>1523937.02</v>
      </c>
      <c r="AT25">
        <v>4051203.9600000009</v>
      </c>
      <c r="AU25">
        <v>121077.65000000002</v>
      </c>
      <c r="AV25"/>
      <c r="AW25">
        <v>505121.89999999997</v>
      </c>
      <c r="AX25">
        <v>575611.19000000006</v>
      </c>
      <c r="AY25">
        <v>557788.02</v>
      </c>
      <c r="AZ25">
        <v>91408.61</v>
      </c>
      <c r="BA25">
        <v>2602286.3899999997</v>
      </c>
      <c r="BB25">
        <v>70250283.989999995</v>
      </c>
      <c r="BD25" s="138" t="s">
        <v>166</v>
      </c>
      <c r="BE25" s="139">
        <f t="shared" si="14"/>
        <v>-7.8352168202400208E-3</v>
      </c>
      <c r="BF25" s="140">
        <f t="shared" si="15"/>
        <v>-1.3612670823931694E-2</v>
      </c>
      <c r="BG25" s="140">
        <f t="shared" si="16"/>
        <v>-1.6116361599415541E-2</v>
      </c>
      <c r="BH25" s="140">
        <f t="shared" si="17"/>
        <v>1.6718227881938219E-2</v>
      </c>
      <c r="BI25" s="140">
        <f t="shared" si="18"/>
        <v>3.7712113276938908E-2</v>
      </c>
      <c r="BJ25" s="140">
        <f t="shared" si="19"/>
        <v>0</v>
      </c>
      <c r="BK25" s="140">
        <f t="shared" si="20"/>
        <v>-8.2745344843715429E-4</v>
      </c>
      <c r="BL25" s="140">
        <f t="shared" si="21"/>
        <v>1.0153971379622817E-3</v>
      </c>
      <c r="BM25" s="140">
        <f t="shared" si="22"/>
        <v>1.5681793447583914E-3</v>
      </c>
      <c r="BN25" s="140">
        <f t="shared" si="23"/>
        <v>-9.9350757518550381E-3</v>
      </c>
      <c r="BO25" s="140">
        <f t="shared" si="24"/>
        <v>-1.2017089873552322E-2</v>
      </c>
      <c r="BP25" s="140">
        <f t="shared" si="25"/>
        <v>2.0759046077728271E-2</v>
      </c>
    </row>
    <row r="26" spans="1:68" ht="15" x14ac:dyDescent="0.25">
      <c r="A26" s="98">
        <v>20</v>
      </c>
      <c r="B26" s="124">
        <v>2</v>
      </c>
      <c r="C26" s="143" t="s">
        <v>413</v>
      </c>
      <c r="D26" s="126">
        <v>3.8808610531192622E-3</v>
      </c>
      <c r="E26" s="128">
        <f t="shared" si="1"/>
        <v>11885705.412657913</v>
      </c>
      <c r="F26" s="126">
        <v>3.8808610531192622E-3</v>
      </c>
      <c r="G26" s="128">
        <f t="shared" si="2"/>
        <v>4577480.6301075118</v>
      </c>
      <c r="H26" s="126">
        <v>3.8808610531192622E-3</v>
      </c>
      <c r="I26" s="128">
        <f t="shared" si="26"/>
        <v>416607.24010370608</v>
      </c>
      <c r="J26" s="126">
        <v>3.8808610531192622E-3</v>
      </c>
      <c r="K26" s="128">
        <f t="shared" si="26"/>
        <v>1107500.4436119136</v>
      </c>
      <c r="L26" s="126">
        <v>3.8808610531192622E-3</v>
      </c>
      <c r="M26" s="128">
        <f t="shared" si="4"/>
        <v>33099.689283306798</v>
      </c>
      <c r="N26" s="129" t="s">
        <v>391</v>
      </c>
      <c r="O26" s="128" t="str">
        <f t="shared" si="5"/>
        <v>NA</v>
      </c>
      <c r="P26" s="126">
        <v>3.8808610531192622E-3</v>
      </c>
      <c r="Q26" s="128">
        <f t="shared" si="6"/>
        <v>138088.01793901794</v>
      </c>
      <c r="R26" s="126">
        <v>3.8808610531192622E-3</v>
      </c>
      <c r="S26" s="128">
        <f t="shared" si="7"/>
        <v>157358.07257820366</v>
      </c>
      <c r="T26" s="126">
        <v>3.8808610531192622E-3</v>
      </c>
      <c r="U26" s="128">
        <f t="shared" si="8"/>
        <v>152485.65152601243</v>
      </c>
      <c r="V26" s="126">
        <v>3.8808610531192622E-3</v>
      </c>
      <c r="W26" s="128">
        <f t="shared" si="9"/>
        <v>24988.883725340191</v>
      </c>
      <c r="X26" s="131">
        <v>2.0297627582607806E-3</v>
      </c>
      <c r="Y26" s="128">
        <f t="shared" si="10"/>
        <v>233079.35238298858</v>
      </c>
      <c r="Z26" s="133" t="e">
        <f t="shared" si="11"/>
        <v>#VALUE!</v>
      </c>
      <c r="AA26" s="134">
        <v>4.1070151470036162E-3</v>
      </c>
      <c r="AB26" s="135">
        <f t="shared" si="12"/>
        <v>18726393.39391591</v>
      </c>
      <c r="AD26" s="142">
        <v>18573645</v>
      </c>
      <c r="AE26" s="137">
        <f t="shared" si="13"/>
        <v>-8.1568506387106332E-3</v>
      </c>
      <c r="AP26" s="138" t="s">
        <v>167</v>
      </c>
      <c r="AQ26">
        <v>11885705.41</v>
      </c>
      <c r="AR26">
        <v>4577480.62</v>
      </c>
      <c r="AS26">
        <v>416607.24</v>
      </c>
      <c r="AT26">
        <v>1107500.4000000001</v>
      </c>
      <c r="AU26">
        <v>33099.730000000003</v>
      </c>
      <c r="AV26"/>
      <c r="AW26">
        <v>138088.01</v>
      </c>
      <c r="AX26">
        <v>157358.09000000003</v>
      </c>
      <c r="AY26">
        <v>152485.65</v>
      </c>
      <c r="AZ26">
        <v>24988.899999999998</v>
      </c>
      <c r="BA26">
        <v>233079.35</v>
      </c>
      <c r="BB26">
        <v>18726393.399999999</v>
      </c>
      <c r="BD26" s="138" t="s">
        <v>167</v>
      </c>
      <c r="BE26" s="139">
        <f t="shared" si="14"/>
        <v>2.6579126715660095E-3</v>
      </c>
      <c r="BF26" s="140">
        <f t="shared" si="15"/>
        <v>-1.0107511654496193E-2</v>
      </c>
      <c r="BG26" s="140">
        <f t="shared" si="16"/>
        <v>1.037060865201056E-4</v>
      </c>
      <c r="BH26" s="140">
        <f t="shared" si="17"/>
        <v>4.3611913453787565E-2</v>
      </c>
      <c r="BI26" s="140">
        <f t="shared" si="18"/>
        <v>-4.0716693205467891E-2</v>
      </c>
      <c r="BJ26" s="140">
        <f t="shared" si="19"/>
        <v>0</v>
      </c>
      <c r="BK26" s="140">
        <f t="shared" si="20"/>
        <v>7.9390179307665676E-3</v>
      </c>
      <c r="BL26" s="140">
        <f t="shared" si="21"/>
        <v>-1.7421796364942566E-2</v>
      </c>
      <c r="BM26" s="140">
        <f t="shared" si="22"/>
        <v>-1.5260124346241355E-3</v>
      </c>
      <c r="BN26" s="140">
        <f t="shared" si="23"/>
        <v>-1.6274659807095304E-2</v>
      </c>
      <c r="BO26" s="140">
        <f t="shared" si="24"/>
        <v>2.3829885758459568E-3</v>
      </c>
      <c r="BP26" s="140">
        <f t="shared" si="25"/>
        <v>-6.0840882360935211E-3</v>
      </c>
    </row>
    <row r="27" spans="1:68" ht="15" x14ac:dyDescent="0.25">
      <c r="A27" s="98">
        <v>21</v>
      </c>
      <c r="B27" s="124">
        <v>6</v>
      </c>
      <c r="C27" s="141" t="s">
        <v>414</v>
      </c>
      <c r="D27" s="126">
        <v>5.3416743717662448E-3</v>
      </c>
      <c r="E27" s="128">
        <f t="shared" si="1"/>
        <v>16359660.169262705</v>
      </c>
      <c r="F27" s="126">
        <v>5.3416743717662448E-3</v>
      </c>
      <c r="G27" s="128">
        <f t="shared" si="2"/>
        <v>6300511.8282832485</v>
      </c>
      <c r="H27" s="126">
        <v>5.3416743717662448E-3</v>
      </c>
      <c r="I27" s="128">
        <f t="shared" si="26"/>
        <v>573424.34761109843</v>
      </c>
      <c r="J27" s="126">
        <v>5.3416743717662448E-3</v>
      </c>
      <c r="K27" s="128">
        <f t="shared" si="26"/>
        <v>1524379.9392422372</v>
      </c>
      <c r="L27" s="126">
        <v>5.3416743717662448E-3</v>
      </c>
      <c r="M27" s="128">
        <f t="shared" si="4"/>
        <v>45558.900341447574</v>
      </c>
      <c r="N27" s="129" t="s">
        <v>391</v>
      </c>
      <c r="O27" s="128" t="str">
        <f t="shared" si="5"/>
        <v>NA</v>
      </c>
      <c r="P27" s="126">
        <v>5.3416743717662448E-3</v>
      </c>
      <c r="Q27" s="128">
        <f t="shared" si="6"/>
        <v>190066.38381963785</v>
      </c>
      <c r="R27" s="126">
        <v>5.3416743717662448E-3</v>
      </c>
      <c r="S27" s="128">
        <f t="shared" si="7"/>
        <v>216589.9711369265</v>
      </c>
      <c r="T27" s="126">
        <v>5.3416743717662448E-3</v>
      </c>
      <c r="U27" s="128">
        <f t="shared" si="8"/>
        <v>209883.498963174</v>
      </c>
      <c r="V27" s="126">
        <v>5.3416743717662448E-3</v>
      </c>
      <c r="W27" s="128">
        <f t="shared" si="9"/>
        <v>34395.067988174706</v>
      </c>
      <c r="X27" s="131">
        <v>5.227188962295814E-3</v>
      </c>
      <c r="Y27" s="128">
        <f t="shared" si="10"/>
        <v>600242.47324321186</v>
      </c>
      <c r="Z27" s="133" t="e">
        <f t="shared" si="11"/>
        <v>#VALUE!</v>
      </c>
      <c r="AA27" s="134">
        <v>5.4381127817513973E-3</v>
      </c>
      <c r="AB27" s="135">
        <f t="shared" si="12"/>
        <v>26054712.579891864</v>
      </c>
      <c r="AD27" s="136">
        <v>25844465</v>
      </c>
      <c r="AE27" s="137">
        <f t="shared" si="13"/>
        <v>-8.0694645641236074E-3</v>
      </c>
      <c r="AP27" s="138" t="s">
        <v>168</v>
      </c>
      <c r="AQ27">
        <v>16359660.170000002</v>
      </c>
      <c r="AR27">
        <v>6300511.8299999991</v>
      </c>
      <c r="AS27">
        <v>573424.3600000001</v>
      </c>
      <c r="AT27">
        <v>1524379.95</v>
      </c>
      <c r="AU27">
        <v>45558.86</v>
      </c>
      <c r="AV27"/>
      <c r="AW27">
        <v>190066.37999999998</v>
      </c>
      <c r="AX27">
        <v>216589.96000000002</v>
      </c>
      <c r="AY27">
        <v>209883.5</v>
      </c>
      <c r="AZ27">
        <v>34395.08</v>
      </c>
      <c r="BA27">
        <v>600242.46</v>
      </c>
      <c r="BB27">
        <v>26054712.550000001</v>
      </c>
      <c r="BD27" s="138" t="s">
        <v>168</v>
      </c>
      <c r="BE27" s="139">
        <f t="shared" si="14"/>
        <v>-7.3729641735553741E-4</v>
      </c>
      <c r="BF27" s="140">
        <f t="shared" si="15"/>
        <v>1.7167506739497185E-3</v>
      </c>
      <c r="BG27" s="140">
        <f t="shared" si="16"/>
        <v>-1.2388901668600738E-2</v>
      </c>
      <c r="BH27" s="140">
        <f t="shared" si="17"/>
        <v>-1.0757762705907226E-2</v>
      </c>
      <c r="BI27" s="140">
        <f t="shared" si="18"/>
        <v>4.0341447573155165E-2</v>
      </c>
      <c r="BJ27" s="140">
        <f t="shared" si="19"/>
        <v>0</v>
      </c>
      <c r="BK27" s="140">
        <f t="shared" si="20"/>
        <v>3.8196378736756742E-3</v>
      </c>
      <c r="BL27" s="140">
        <f t="shared" si="21"/>
        <v>1.1136926477774978E-2</v>
      </c>
      <c r="BM27" s="140">
        <f t="shared" si="22"/>
        <v>1.0368259972892702E-3</v>
      </c>
      <c r="BN27" s="140">
        <f t="shared" si="23"/>
        <v>-1.2011825296212919E-2</v>
      </c>
      <c r="BO27" s="140">
        <f t="shared" si="24"/>
        <v>1.3243211898952723E-2</v>
      </c>
      <c r="BP27" s="140">
        <f t="shared" si="25"/>
        <v>2.9891863465309143E-2</v>
      </c>
    </row>
    <row r="28" spans="1:68" ht="15" x14ac:dyDescent="0.25">
      <c r="A28" s="98">
        <v>22</v>
      </c>
      <c r="B28" s="124">
        <v>6</v>
      </c>
      <c r="C28" s="141" t="s">
        <v>415</v>
      </c>
      <c r="D28" s="126">
        <v>3.8501560201624073E-3</v>
      </c>
      <c r="E28" s="128">
        <f t="shared" si="1"/>
        <v>11791666.751799958</v>
      </c>
      <c r="F28" s="126">
        <v>3.8501560201624073E-3</v>
      </c>
      <c r="G28" s="128">
        <f t="shared" si="2"/>
        <v>4541264.0040332936</v>
      </c>
      <c r="H28" s="126">
        <v>3.8501560201624073E-3</v>
      </c>
      <c r="I28" s="128">
        <f t="shared" si="26"/>
        <v>413311.08008602983</v>
      </c>
      <c r="J28" s="126">
        <v>3.8501560201624073E-3</v>
      </c>
      <c r="K28" s="128">
        <f t="shared" si="26"/>
        <v>1098737.9970426136</v>
      </c>
      <c r="L28" s="126">
        <v>3.8501560201624073E-3</v>
      </c>
      <c r="M28" s="128">
        <f t="shared" si="4"/>
        <v>32837.807438944263</v>
      </c>
      <c r="N28" s="129" t="s">
        <v>391</v>
      </c>
      <c r="O28" s="128" t="str">
        <f t="shared" si="5"/>
        <v>NA</v>
      </c>
      <c r="P28" s="126">
        <v>3.8501560201624073E-3</v>
      </c>
      <c r="Q28" s="128">
        <f t="shared" si="6"/>
        <v>136995.47762805875</v>
      </c>
      <c r="R28" s="126">
        <v>3.8501560201624073E-3</v>
      </c>
      <c r="S28" s="128">
        <f t="shared" si="7"/>
        <v>156113.06928166529</v>
      </c>
      <c r="T28" s="126">
        <v>3.8501560201624073E-3</v>
      </c>
      <c r="U28" s="128">
        <f t="shared" si="8"/>
        <v>151279.19839835138</v>
      </c>
      <c r="V28" s="126">
        <v>3.8501560201624073E-3</v>
      </c>
      <c r="W28" s="128">
        <f t="shared" si="9"/>
        <v>24791.173864605837</v>
      </c>
      <c r="X28" s="131">
        <v>2.5139747767827154E-3</v>
      </c>
      <c r="Y28" s="128">
        <f t="shared" si="10"/>
        <v>288681.82278689783</v>
      </c>
      <c r="Z28" s="133" t="e">
        <f t="shared" si="11"/>
        <v>#VALUE!</v>
      </c>
      <c r="AA28" s="134">
        <v>4.2354864217275801E-3</v>
      </c>
      <c r="AB28" s="135">
        <f t="shared" si="12"/>
        <v>18635678.382360417</v>
      </c>
      <c r="AD28" s="142">
        <v>18484137</v>
      </c>
      <c r="AE28" s="137">
        <f t="shared" si="13"/>
        <v>-8.131787813201341E-3</v>
      </c>
      <c r="AP28" s="138" t="s">
        <v>416</v>
      </c>
      <c r="AQ28">
        <v>11791666.77</v>
      </c>
      <c r="AR28">
        <v>4541263.9999999991</v>
      </c>
      <c r="AS28">
        <v>413311.08999999997</v>
      </c>
      <c r="AT28">
        <v>1098737.96</v>
      </c>
      <c r="AU28">
        <v>32837.769999999997</v>
      </c>
      <c r="AV28"/>
      <c r="AW28">
        <v>136995.48000000001</v>
      </c>
      <c r="AX28">
        <v>156113.07</v>
      </c>
      <c r="AY28">
        <v>151279.19999999998</v>
      </c>
      <c r="AZ28">
        <v>24791.18</v>
      </c>
      <c r="BA28">
        <v>288681.83</v>
      </c>
      <c r="BB28">
        <v>18635678.349999998</v>
      </c>
      <c r="BD28" s="138" t="s">
        <v>416</v>
      </c>
      <c r="BE28" s="139">
        <f t="shared" si="14"/>
        <v>-1.8200041726231575E-2</v>
      </c>
      <c r="BF28" s="140">
        <f t="shared" si="15"/>
        <v>-4.0332945063710213E-3</v>
      </c>
      <c r="BG28" s="140">
        <f t="shared" si="16"/>
        <v>-9.9139701342210174E-3</v>
      </c>
      <c r="BH28" s="140">
        <f t="shared" si="17"/>
        <v>3.7042613606899977E-2</v>
      </c>
      <c r="BI28" s="140">
        <f t="shared" si="18"/>
        <v>3.7438944265886676E-2</v>
      </c>
      <c r="BJ28" s="140">
        <f t="shared" si="19"/>
        <v>0</v>
      </c>
      <c r="BK28" s="140">
        <f t="shared" si="20"/>
        <v>-2.3719412565696985E-3</v>
      </c>
      <c r="BL28" s="140">
        <f t="shared" si="21"/>
        <v>-7.1833471884019673E-4</v>
      </c>
      <c r="BM28" s="140">
        <f t="shared" si="22"/>
        <v>1.6016486042644829E-3</v>
      </c>
      <c r="BN28" s="140">
        <f t="shared" si="23"/>
        <v>-6.1353941637207754E-3</v>
      </c>
      <c r="BO28" s="140">
        <f t="shared" si="24"/>
        <v>-7.21310218796134E-3</v>
      </c>
      <c r="BP28" s="140">
        <f t="shared" si="25"/>
        <v>3.2360419631004333E-2</v>
      </c>
    </row>
    <row r="29" spans="1:68" ht="15" x14ac:dyDescent="0.25">
      <c r="A29" s="98">
        <v>23</v>
      </c>
      <c r="B29" s="124">
        <v>1</v>
      </c>
      <c r="C29" s="141" t="s">
        <v>417</v>
      </c>
      <c r="D29" s="126">
        <v>3.9599323798676011E-3</v>
      </c>
      <c r="E29" s="128">
        <f t="shared" si="1"/>
        <v>12127872.932560073</v>
      </c>
      <c r="F29" s="126">
        <v>3.9599323798676011E-3</v>
      </c>
      <c r="G29" s="128">
        <f t="shared" si="2"/>
        <v>4670745.3622464025</v>
      </c>
      <c r="H29" s="126">
        <v>3.9599323798676011E-3</v>
      </c>
      <c r="I29" s="128">
        <f t="shared" si="26"/>
        <v>425095.48195443832</v>
      </c>
      <c r="J29" s="126">
        <v>3.9599323798676011E-3</v>
      </c>
      <c r="K29" s="128">
        <f t="shared" si="26"/>
        <v>1130065.4177895854</v>
      </c>
      <c r="L29" s="126">
        <v>3.9599323798676011E-3</v>
      </c>
      <c r="M29" s="128">
        <f t="shared" si="4"/>
        <v>33774.085070933674</v>
      </c>
      <c r="N29" s="129">
        <v>3.5000010757642724E-3</v>
      </c>
      <c r="O29" s="128">
        <f t="shared" si="5"/>
        <v>868684.99999999988</v>
      </c>
      <c r="P29" s="126">
        <v>3.9599323798676011E-3</v>
      </c>
      <c r="Q29" s="128">
        <f t="shared" si="6"/>
        <v>140901.51799404065</v>
      </c>
      <c r="R29" s="126">
        <v>3.9599323798676011E-3</v>
      </c>
      <c r="S29" s="128">
        <f t="shared" si="7"/>
        <v>160564.19395256188</v>
      </c>
      <c r="T29" s="126">
        <v>3.9599323798676011E-3</v>
      </c>
      <c r="U29" s="128">
        <f t="shared" si="8"/>
        <v>155592.4988496381</v>
      </c>
      <c r="V29" s="126">
        <v>3.9599323798676011E-3</v>
      </c>
      <c r="W29" s="128">
        <f t="shared" si="9"/>
        <v>25498.024393629381</v>
      </c>
      <c r="X29" s="131">
        <v>2.274243532181538E-3</v>
      </c>
      <c r="Y29" s="128">
        <f t="shared" si="10"/>
        <v>261153.28379375537</v>
      </c>
      <c r="Z29" s="133">
        <f t="shared" si="11"/>
        <v>19833548.256217387</v>
      </c>
      <c r="AA29" s="134">
        <v>4.2453610745367349E-3</v>
      </c>
      <c r="AB29" s="135">
        <f t="shared" si="12"/>
        <v>19999947.798605058</v>
      </c>
      <c r="AD29" s="136">
        <v>19844086</v>
      </c>
      <c r="AE29" s="137">
        <f t="shared" si="13"/>
        <v>-7.7931102708143074E-3</v>
      </c>
      <c r="AP29" s="138" t="s">
        <v>169</v>
      </c>
      <c r="AQ29">
        <v>12127872.939999999</v>
      </c>
      <c r="AR29">
        <v>4670745.3500000006</v>
      </c>
      <c r="AS29">
        <v>425095.49</v>
      </c>
      <c r="AT29">
        <v>1130065.4099999999</v>
      </c>
      <c r="AU29">
        <v>33774.130000000012</v>
      </c>
      <c r="AV29">
        <v>868684.98</v>
      </c>
      <c r="AW29">
        <v>140901.51</v>
      </c>
      <c r="AX29">
        <v>160564.19</v>
      </c>
      <c r="AY29">
        <v>155592.49000000002</v>
      </c>
      <c r="AZ29">
        <v>25498.02</v>
      </c>
      <c r="BA29">
        <v>261153.28</v>
      </c>
      <c r="BB29">
        <v>19999947.789999999</v>
      </c>
      <c r="BD29" s="138" t="s">
        <v>169</v>
      </c>
      <c r="BE29" s="139">
        <f t="shared" si="14"/>
        <v>-7.4399262666702271E-3</v>
      </c>
      <c r="BF29" s="140">
        <f t="shared" si="15"/>
        <v>-1.2246401980519295E-2</v>
      </c>
      <c r="BG29" s="140">
        <f t="shared" si="16"/>
        <v>-8.0455616698600352E-3</v>
      </c>
      <c r="BH29" s="140">
        <f t="shared" si="17"/>
        <v>7.7895855065435171E-3</v>
      </c>
      <c r="BI29" s="140">
        <f t="shared" si="18"/>
        <v>-4.492906633822713E-2</v>
      </c>
      <c r="BJ29" s="140">
        <f t="shared" si="19"/>
        <v>1.999999990221113E-2</v>
      </c>
      <c r="BK29" s="140">
        <f t="shared" si="20"/>
        <v>7.9940406430978328E-3</v>
      </c>
      <c r="BL29" s="140">
        <f t="shared" si="21"/>
        <v>3.9525618776679039E-3</v>
      </c>
      <c r="BM29" s="140">
        <f t="shared" si="22"/>
        <v>-8.8496380776632577E-3</v>
      </c>
      <c r="BN29" s="140">
        <f t="shared" si="23"/>
        <v>4.3936293805018067E-3</v>
      </c>
      <c r="BO29" s="140">
        <f t="shared" si="24"/>
        <v>3.7937553715892136E-3</v>
      </c>
      <c r="BP29" s="140">
        <f t="shared" si="25"/>
        <v>8.6050592362880707E-3</v>
      </c>
    </row>
    <row r="30" spans="1:68" ht="15" x14ac:dyDescent="0.25">
      <c r="A30" s="98">
        <v>24</v>
      </c>
      <c r="B30" s="124">
        <v>7</v>
      </c>
      <c r="C30" s="141" t="s">
        <v>418</v>
      </c>
      <c r="D30" s="126">
        <v>3.5052296782582112E-3</v>
      </c>
      <c r="E30" s="128">
        <f t="shared" si="1"/>
        <v>10735279.307667205</v>
      </c>
      <c r="F30" s="126">
        <v>3.5052296782582112E-3</v>
      </c>
      <c r="G30" s="128">
        <f t="shared" si="2"/>
        <v>4134422.9377675341</v>
      </c>
      <c r="H30" s="126">
        <v>3.5052296782582112E-3</v>
      </c>
      <c r="I30" s="128">
        <f t="shared" si="26"/>
        <v>376283.52115699375</v>
      </c>
      <c r="J30" s="126">
        <v>3.5052296782582112E-3</v>
      </c>
      <c r="K30" s="128">
        <f t="shared" si="26"/>
        <v>1000304.6670564002</v>
      </c>
      <c r="L30" s="126">
        <v>3.5052296782582112E-3</v>
      </c>
      <c r="M30" s="128">
        <f t="shared" si="4"/>
        <v>29895.946190528761</v>
      </c>
      <c r="N30" s="129" t="s">
        <v>391</v>
      </c>
      <c r="O30" s="128" t="str">
        <f t="shared" si="5"/>
        <v>NA</v>
      </c>
      <c r="P30" s="126">
        <v>3.5052296782582112E-3</v>
      </c>
      <c r="Q30" s="128">
        <f t="shared" si="6"/>
        <v>124722.37786061836</v>
      </c>
      <c r="R30" s="126">
        <v>3.5052296782582112E-3</v>
      </c>
      <c r="S30" s="128">
        <f t="shared" si="7"/>
        <v>142127.26984164942</v>
      </c>
      <c r="T30" s="126">
        <v>3.5052296782582112E-3</v>
      </c>
      <c r="U30" s="128">
        <f t="shared" si="8"/>
        <v>137726.45398059624</v>
      </c>
      <c r="V30" s="126">
        <v>3.5052296782582112E-3</v>
      </c>
      <c r="W30" s="128">
        <f t="shared" si="9"/>
        <v>22570.191424453009</v>
      </c>
      <c r="X30" s="131">
        <v>1.738040955715485E-3</v>
      </c>
      <c r="Y30" s="128">
        <f t="shared" si="10"/>
        <v>199580.69420900717</v>
      </c>
      <c r="Z30" s="133" t="e">
        <f t="shared" si="11"/>
        <v>#VALUE!</v>
      </c>
      <c r="AA30" s="134">
        <v>3.8434218744281762E-3</v>
      </c>
      <c r="AB30" s="135">
        <f t="shared" si="12"/>
        <v>16902913.367154986</v>
      </c>
      <c r="AD30" s="142">
        <v>16764948</v>
      </c>
      <c r="AE30" s="137">
        <f t="shared" si="13"/>
        <v>-8.1622241183034738E-3</v>
      </c>
      <c r="AP30" s="138" t="s">
        <v>170</v>
      </c>
      <c r="AQ30">
        <v>10735279.299999999</v>
      </c>
      <c r="AR30">
        <v>4134422.95</v>
      </c>
      <c r="AS30">
        <v>376283.51</v>
      </c>
      <c r="AT30">
        <v>1000304.6400000001</v>
      </c>
      <c r="AU30">
        <v>29895.970000000008</v>
      </c>
      <c r="AV30"/>
      <c r="AW30">
        <v>124722.37999999998</v>
      </c>
      <c r="AX30">
        <v>142127.26999999999</v>
      </c>
      <c r="AY30">
        <v>137726.45000000001</v>
      </c>
      <c r="AZ30">
        <v>22570.22</v>
      </c>
      <c r="BA30">
        <v>199580.68999999994</v>
      </c>
      <c r="BB30">
        <v>16902913.379999999</v>
      </c>
      <c r="BD30" s="138" t="s">
        <v>170</v>
      </c>
      <c r="BE30" s="139">
        <f t="shared" si="14"/>
        <v>7.6672062277793884E-3</v>
      </c>
      <c r="BF30" s="140">
        <f t="shared" si="15"/>
        <v>1.2232466135174036E-2</v>
      </c>
      <c r="BG30" s="140">
        <f t="shared" si="16"/>
        <v>1.1156993743497878E-2</v>
      </c>
      <c r="BH30" s="140">
        <f t="shared" si="17"/>
        <v>2.7056400082074106E-2</v>
      </c>
      <c r="BI30" s="140">
        <f t="shared" si="18"/>
        <v>-2.380947124765953E-2</v>
      </c>
      <c r="BJ30" s="140">
        <f t="shared" si="19"/>
        <v>0</v>
      </c>
      <c r="BK30" s="140">
        <f t="shared" si="20"/>
        <v>-2.1393816132331267E-3</v>
      </c>
      <c r="BL30" s="140">
        <f t="shared" si="21"/>
        <v>-1.583505654707551E-4</v>
      </c>
      <c r="BM30" s="140">
        <f t="shared" si="22"/>
        <v>-3.980596229666844E-3</v>
      </c>
      <c r="BN30" s="140">
        <f t="shared" si="23"/>
        <v>-2.8575546992215095E-2</v>
      </c>
      <c r="BO30" s="140">
        <f t="shared" si="24"/>
        <v>4.209007223835215E-3</v>
      </c>
      <c r="BP30" s="140">
        <f t="shared" si="25"/>
        <v>-1.2845013290643692E-2</v>
      </c>
    </row>
    <row r="31" spans="1:68" ht="15" x14ac:dyDescent="0.25">
      <c r="A31" s="98">
        <v>25</v>
      </c>
      <c r="B31" s="124">
        <v>7</v>
      </c>
      <c r="C31" s="141" t="s">
        <v>419</v>
      </c>
      <c r="D31" s="126">
        <v>4.2852578287858878E-3</v>
      </c>
      <c r="E31" s="128">
        <f t="shared" si="1"/>
        <v>13124229.770941479</v>
      </c>
      <c r="F31" s="126">
        <v>4.2852578287858878E-3</v>
      </c>
      <c r="G31" s="128">
        <f t="shared" si="2"/>
        <v>5054467.1498913271</v>
      </c>
      <c r="H31" s="126">
        <v>4.2852578287858878E-3</v>
      </c>
      <c r="I31" s="128">
        <f t="shared" si="26"/>
        <v>460018.90115297196</v>
      </c>
      <c r="J31" s="126">
        <v>4.2852578287858878E-3</v>
      </c>
      <c r="K31" s="128">
        <f t="shared" si="26"/>
        <v>1222905.144351209</v>
      </c>
      <c r="L31" s="126">
        <v>4.2852578287858878E-3</v>
      </c>
      <c r="M31" s="128">
        <f t="shared" si="4"/>
        <v>36548.771185112542</v>
      </c>
      <c r="N31" s="129" t="s">
        <v>391</v>
      </c>
      <c r="O31" s="128" t="str">
        <f t="shared" si="5"/>
        <v>NA</v>
      </c>
      <c r="P31" s="126">
        <v>4.2852578287858878E-3</v>
      </c>
      <c r="Q31" s="128">
        <f t="shared" si="6"/>
        <v>152477.18272703589</v>
      </c>
      <c r="R31" s="126">
        <v>4.2852578287858878E-3</v>
      </c>
      <c r="S31" s="128">
        <f t="shared" si="7"/>
        <v>173755.23194689411</v>
      </c>
      <c r="T31" s="126">
        <v>4.2852578287858878E-3</v>
      </c>
      <c r="U31" s="128">
        <f t="shared" si="8"/>
        <v>168375.09074285344</v>
      </c>
      <c r="V31" s="126">
        <v>4.2852578287858878E-3</v>
      </c>
      <c r="W31" s="128">
        <f t="shared" si="9"/>
        <v>27592.796585841472</v>
      </c>
      <c r="X31" s="131">
        <v>2.7924748276688428E-3</v>
      </c>
      <c r="Y31" s="128">
        <f t="shared" si="10"/>
        <v>320662.21617769432</v>
      </c>
      <c r="Z31" s="133" t="e">
        <f t="shared" si="11"/>
        <v>#VALUE!</v>
      </c>
      <c r="AA31" s="134">
        <v>4.4074344956151566E-3</v>
      </c>
      <c r="AB31" s="135">
        <f t="shared" si="12"/>
        <v>20741032.255702417</v>
      </c>
      <c r="AD31" s="136">
        <v>20572367</v>
      </c>
      <c r="AE31" s="137">
        <f t="shared" si="13"/>
        <v>-8.1319605322943689E-3</v>
      </c>
      <c r="AP31" s="138" t="s">
        <v>171</v>
      </c>
      <c r="AQ31">
        <v>13124229.779999999</v>
      </c>
      <c r="AR31">
        <v>5054467.1499999994</v>
      </c>
      <c r="AS31">
        <v>460018.89</v>
      </c>
      <c r="AT31">
        <v>1222905.1300000004</v>
      </c>
      <c r="AU31">
        <v>36548.770000000004</v>
      </c>
      <c r="AV31"/>
      <c r="AW31">
        <v>152477.20000000001</v>
      </c>
      <c r="AX31">
        <v>173755.24</v>
      </c>
      <c r="AY31">
        <v>168375.09000000003</v>
      </c>
      <c r="AZ31">
        <v>27592.789999999997</v>
      </c>
      <c r="BA31">
        <v>320662.2</v>
      </c>
      <c r="BB31">
        <v>20741032.239999995</v>
      </c>
      <c r="BD31" s="138" t="s">
        <v>171</v>
      </c>
      <c r="BE31" s="139">
        <f t="shared" si="14"/>
        <v>-9.0585201978683472E-3</v>
      </c>
      <c r="BF31" s="140">
        <f t="shared" si="15"/>
        <v>1.0867230594158173E-4</v>
      </c>
      <c r="BG31" s="140">
        <f t="shared" si="16"/>
        <v>1.1152971943374723E-2</v>
      </c>
      <c r="BH31" s="140">
        <f t="shared" si="17"/>
        <v>1.4351208694279194E-2</v>
      </c>
      <c r="BI31" s="140">
        <f t="shared" si="18"/>
        <v>1.1851125382236205E-3</v>
      </c>
      <c r="BJ31" s="140">
        <f t="shared" si="19"/>
        <v>0</v>
      </c>
      <c r="BK31" s="140">
        <f t="shared" si="20"/>
        <v>-1.7272964119911194E-2</v>
      </c>
      <c r="BL31" s="140">
        <f t="shared" si="21"/>
        <v>-8.0531058774795383E-3</v>
      </c>
      <c r="BM31" s="140">
        <f t="shared" si="22"/>
        <v>-7.4285341543145478E-4</v>
      </c>
      <c r="BN31" s="140">
        <f t="shared" si="23"/>
        <v>6.5858414745889604E-3</v>
      </c>
      <c r="BO31" s="140">
        <f t="shared" si="24"/>
        <v>1.617769431322813E-2</v>
      </c>
      <c r="BP31" s="140">
        <f t="shared" si="25"/>
        <v>1.5702422708272934E-2</v>
      </c>
    </row>
    <row r="32" spans="1:68" ht="15" x14ac:dyDescent="0.25">
      <c r="A32" s="98">
        <v>26</v>
      </c>
      <c r="B32" s="124">
        <v>4</v>
      </c>
      <c r="C32" s="143" t="s">
        <v>420</v>
      </c>
      <c r="D32" s="126">
        <v>3.7715566927678627E-3</v>
      </c>
      <c r="E32" s="128">
        <f t="shared" si="1"/>
        <v>11550944.799053483</v>
      </c>
      <c r="F32" s="126">
        <v>3.7715566927678627E-3</v>
      </c>
      <c r="G32" s="128">
        <f t="shared" si="2"/>
        <v>4448555.995742498</v>
      </c>
      <c r="H32" s="126">
        <v>3.7715566927678627E-3</v>
      </c>
      <c r="I32" s="128">
        <f t="shared" si="26"/>
        <v>404873.50697747193</v>
      </c>
      <c r="J32" s="126">
        <v>3.7715566927678627E-3</v>
      </c>
      <c r="K32" s="128">
        <f t="shared" si="26"/>
        <v>1076307.719646547</v>
      </c>
      <c r="L32" s="126">
        <v>3.7715566927678627E-3</v>
      </c>
      <c r="M32" s="128">
        <f t="shared" si="4"/>
        <v>32167.437312565926</v>
      </c>
      <c r="N32" s="129" t="s">
        <v>391</v>
      </c>
      <c r="O32" s="128" t="str">
        <f t="shared" si="5"/>
        <v>NA</v>
      </c>
      <c r="P32" s="126">
        <v>3.7715566927678627E-3</v>
      </c>
      <c r="Q32" s="128">
        <f t="shared" si="6"/>
        <v>134198.77215917088</v>
      </c>
      <c r="R32" s="126">
        <v>3.7715566927678627E-3</v>
      </c>
      <c r="S32" s="128">
        <f t="shared" si="7"/>
        <v>152926.08616233725</v>
      </c>
      <c r="T32" s="126">
        <v>3.7715566927678627E-3</v>
      </c>
      <c r="U32" s="128">
        <f t="shared" si="8"/>
        <v>148190.89673456718</v>
      </c>
      <c r="V32" s="126">
        <v>3.7715566927678627E-3</v>
      </c>
      <c r="W32" s="128">
        <f t="shared" si="9"/>
        <v>24285.072402515729</v>
      </c>
      <c r="X32" s="131">
        <v>1.6759374273867329E-3</v>
      </c>
      <c r="Y32" s="128">
        <f t="shared" si="10"/>
        <v>192449.29419457042</v>
      </c>
      <c r="Z32" s="133" t="e">
        <f t="shared" si="11"/>
        <v>#VALUE!</v>
      </c>
      <c r="AA32" s="134">
        <v>3.9598149990418335E-3</v>
      </c>
      <c r="AB32" s="135">
        <f t="shared" si="12"/>
        <v>18164899.580385726</v>
      </c>
      <c r="AD32" s="142">
        <v>18016452</v>
      </c>
      <c r="AE32" s="137">
        <f t="shared" si="13"/>
        <v>-8.1722213617970718E-3</v>
      </c>
      <c r="AP32" s="138" t="s">
        <v>172</v>
      </c>
      <c r="AQ32">
        <v>11550944.789999999</v>
      </c>
      <c r="AR32">
        <v>4448555.9999999991</v>
      </c>
      <c r="AS32">
        <v>404873.51</v>
      </c>
      <c r="AT32">
        <v>1076307.6800000002</v>
      </c>
      <c r="AU32">
        <v>32167.449999999993</v>
      </c>
      <c r="AV32"/>
      <c r="AW32">
        <v>134198.77000000002</v>
      </c>
      <c r="AX32">
        <v>152926.09</v>
      </c>
      <c r="AY32">
        <v>148190.89000000001</v>
      </c>
      <c r="AZ32">
        <v>24285.06</v>
      </c>
      <c r="BA32">
        <v>192449.3</v>
      </c>
      <c r="BB32">
        <v>18164899.539999999</v>
      </c>
      <c r="BD32" s="138" t="s">
        <v>172</v>
      </c>
      <c r="BE32" s="139">
        <f t="shared" si="14"/>
        <v>9.0534836053848267E-3</v>
      </c>
      <c r="BF32" s="140">
        <f t="shared" si="15"/>
        <v>4.2575011029839516E-3</v>
      </c>
      <c r="BG32" s="140">
        <f t="shared" si="16"/>
        <v>-3.0225280788727105E-3</v>
      </c>
      <c r="BH32" s="140">
        <f t="shared" si="17"/>
        <v>3.9646546822041273E-2</v>
      </c>
      <c r="BI32" s="140">
        <f t="shared" si="18"/>
        <v>-1.2687434067629511E-2</v>
      </c>
      <c r="BJ32" s="140">
        <f t="shared" si="19"/>
        <v>0</v>
      </c>
      <c r="BK32" s="140">
        <f t="shared" si="20"/>
        <v>2.1591708646155894E-3</v>
      </c>
      <c r="BL32" s="140">
        <f t="shared" si="21"/>
        <v>-3.8376627489924431E-3</v>
      </c>
      <c r="BM32" s="140">
        <f t="shared" si="22"/>
        <v>-6.73456717049703E-3</v>
      </c>
      <c r="BN32" s="140">
        <f t="shared" si="23"/>
        <v>1.2402515727444552E-2</v>
      </c>
      <c r="BO32" s="140">
        <f t="shared" si="24"/>
        <v>-5.8054295659530908E-3</v>
      </c>
      <c r="BP32" s="140">
        <f t="shared" si="25"/>
        <v>4.038572683930397E-2</v>
      </c>
    </row>
    <row r="33" spans="1:68" ht="15" x14ac:dyDescent="0.25">
      <c r="A33" s="98">
        <v>27</v>
      </c>
      <c r="B33" s="124">
        <v>4</v>
      </c>
      <c r="C33" s="141" t="s">
        <v>421</v>
      </c>
      <c r="D33" s="126">
        <v>5.0069440263414249E-3</v>
      </c>
      <c r="E33" s="128">
        <f t="shared" si="1"/>
        <v>15334499.45777604</v>
      </c>
      <c r="F33" s="126">
        <v>5.0069440263414249E-3</v>
      </c>
      <c r="G33" s="128">
        <f t="shared" si="2"/>
        <v>5905696.9530483363</v>
      </c>
      <c r="H33" s="126">
        <v>5.0069440263414249E-3</v>
      </c>
      <c r="I33" s="128">
        <f t="shared" si="26"/>
        <v>537491.32051281829</v>
      </c>
      <c r="J33" s="126">
        <v>5.0069440263414249E-3</v>
      </c>
      <c r="K33" s="128">
        <f t="shared" si="26"/>
        <v>1428856.2910172143</v>
      </c>
      <c r="L33" s="126">
        <v>5.0069440263414249E-3</v>
      </c>
      <c r="M33" s="128">
        <f t="shared" si="4"/>
        <v>42704.000288184827</v>
      </c>
      <c r="N33" s="129" t="s">
        <v>391</v>
      </c>
      <c r="O33" s="128" t="str">
        <f t="shared" si="5"/>
        <v>NA</v>
      </c>
      <c r="P33" s="126">
        <v>5.0069440263414249E-3</v>
      </c>
      <c r="Q33" s="128">
        <f t="shared" si="6"/>
        <v>178156.07594953131</v>
      </c>
      <c r="R33" s="126">
        <v>5.0069440263414249E-3</v>
      </c>
      <c r="S33" s="128">
        <f t="shared" si="7"/>
        <v>203017.59086653517</v>
      </c>
      <c r="T33" s="126">
        <v>5.0069440263414249E-3</v>
      </c>
      <c r="U33" s="128">
        <f t="shared" si="8"/>
        <v>196731.37264146353</v>
      </c>
      <c r="V33" s="126">
        <v>5.0069440263414249E-3</v>
      </c>
      <c r="W33" s="128">
        <f t="shared" si="9"/>
        <v>32239.737620332562</v>
      </c>
      <c r="X33" s="131">
        <v>3.6052679116127355E-3</v>
      </c>
      <c r="Y33" s="128">
        <f t="shared" si="10"/>
        <v>413995.92468919663</v>
      </c>
      <c r="Z33" s="133" t="e">
        <f t="shared" si="11"/>
        <v>#VALUE!</v>
      </c>
      <c r="AA33" s="134">
        <v>5.3892679963040771E-3</v>
      </c>
      <c r="AB33" s="135">
        <f t="shared" si="12"/>
        <v>24273388.724409655</v>
      </c>
      <c r="AD33" s="136">
        <v>24076318</v>
      </c>
      <c r="AE33" s="137">
        <f t="shared" si="13"/>
        <v>-8.1187973647650624E-3</v>
      </c>
      <c r="AP33" s="138" t="s">
        <v>173</v>
      </c>
      <c r="AQ33">
        <v>15334499.469999999</v>
      </c>
      <c r="AR33">
        <v>5905696.9399999995</v>
      </c>
      <c r="AS33">
        <v>537491.30999999994</v>
      </c>
      <c r="AT33">
        <v>1428856.2600000002</v>
      </c>
      <c r="AU33">
        <v>42704.049999999988</v>
      </c>
      <c r="AV33"/>
      <c r="AW33">
        <v>178156.07</v>
      </c>
      <c r="AX33">
        <v>203017.57999999996</v>
      </c>
      <c r="AY33">
        <v>196731.38000000003</v>
      </c>
      <c r="AZ33">
        <v>32239.74</v>
      </c>
      <c r="BA33">
        <v>413995.93</v>
      </c>
      <c r="BB33">
        <v>24273388.729999993</v>
      </c>
      <c r="BD33" s="138" t="s">
        <v>173</v>
      </c>
      <c r="BE33" s="139">
        <f t="shared" si="14"/>
        <v>-1.2223958969116211E-2</v>
      </c>
      <c r="BF33" s="140">
        <f t="shared" si="15"/>
        <v>-1.3048336841166019E-2</v>
      </c>
      <c r="BG33" s="140">
        <f t="shared" si="16"/>
        <v>1.0512818349525332E-2</v>
      </c>
      <c r="BH33" s="140">
        <f t="shared" si="17"/>
        <v>3.1017214059829712E-2</v>
      </c>
      <c r="BI33" s="140">
        <f t="shared" si="18"/>
        <v>-4.9711815161572304E-2</v>
      </c>
      <c r="BJ33" s="140">
        <f t="shared" si="19"/>
        <v>0</v>
      </c>
      <c r="BK33" s="140">
        <f t="shared" si="20"/>
        <v>5.9495313034858555E-3</v>
      </c>
      <c r="BL33" s="140">
        <f t="shared" si="21"/>
        <v>1.086653521633707E-2</v>
      </c>
      <c r="BM33" s="140">
        <f t="shared" si="22"/>
        <v>7.3585365025792271E-3</v>
      </c>
      <c r="BN33" s="140">
        <f t="shared" si="23"/>
        <v>-2.3796674395271111E-3</v>
      </c>
      <c r="BO33" s="140">
        <f t="shared" si="24"/>
        <v>-5.3108033607713878E-3</v>
      </c>
      <c r="BP33" s="140">
        <f t="shared" si="25"/>
        <v>-5.590338259935379E-3</v>
      </c>
    </row>
    <row r="34" spans="1:68" ht="15" x14ac:dyDescent="0.25">
      <c r="A34" s="98">
        <v>28</v>
      </c>
      <c r="B34" s="124">
        <v>4</v>
      </c>
      <c r="C34" s="141" t="s">
        <v>422</v>
      </c>
      <c r="D34" s="126">
        <v>3.3984412206376127E-3</v>
      </c>
      <c r="E34" s="128">
        <f t="shared" si="1"/>
        <v>10408224.014685158</v>
      </c>
      <c r="F34" s="126">
        <v>3.3984412206376127E-3</v>
      </c>
      <c r="G34" s="128">
        <f t="shared" si="2"/>
        <v>4008465.8139265622</v>
      </c>
      <c r="H34" s="126">
        <v>3.3984412206376127E-3</v>
      </c>
      <c r="I34" s="128">
        <f t="shared" si="26"/>
        <v>364819.86811832315</v>
      </c>
      <c r="J34" s="126">
        <v>3.3984412206376127E-3</v>
      </c>
      <c r="K34" s="128">
        <f t="shared" si="26"/>
        <v>969829.91865169082</v>
      </c>
      <c r="L34" s="126">
        <v>3.3984412206376127E-3</v>
      </c>
      <c r="M34" s="128">
        <f t="shared" si="4"/>
        <v>28985.152240963271</v>
      </c>
      <c r="N34" s="129" t="s">
        <v>391</v>
      </c>
      <c r="O34" s="128" t="str">
        <f t="shared" si="5"/>
        <v>NA</v>
      </c>
      <c r="P34" s="126">
        <v>3.3984412206376127E-3</v>
      </c>
      <c r="Q34" s="128">
        <f t="shared" si="6"/>
        <v>120922.65242604222</v>
      </c>
      <c r="R34" s="126">
        <v>3.3984412206376127E-3</v>
      </c>
      <c r="S34" s="128">
        <f t="shared" si="7"/>
        <v>137797.29625208472</v>
      </c>
      <c r="T34" s="126">
        <v>3.3984412206376127E-3</v>
      </c>
      <c r="U34" s="128">
        <f t="shared" si="8"/>
        <v>133530.55329957421</v>
      </c>
      <c r="V34" s="126">
        <v>3.3984412206376127E-3</v>
      </c>
      <c r="W34" s="128">
        <f t="shared" si="9"/>
        <v>21882.580011891689</v>
      </c>
      <c r="X34" s="131">
        <v>1.3687878452620151E-3</v>
      </c>
      <c r="Y34" s="128">
        <f t="shared" si="10"/>
        <v>157179.05120928798</v>
      </c>
      <c r="Z34" s="133" t="e">
        <f t="shared" si="11"/>
        <v>#VALUE!</v>
      </c>
      <c r="AA34" s="134">
        <v>3.5415059009784333E-3</v>
      </c>
      <c r="AB34" s="135">
        <f t="shared" si="12"/>
        <v>16351636.900821578</v>
      </c>
      <c r="AD34" s="142">
        <v>16217877</v>
      </c>
      <c r="AE34" s="137">
        <f t="shared" si="13"/>
        <v>-8.1802147169044437E-3</v>
      </c>
      <c r="AP34" s="138" t="s">
        <v>174</v>
      </c>
      <c r="AQ34">
        <v>10408224.01</v>
      </c>
      <c r="AR34">
        <v>4008465.8</v>
      </c>
      <c r="AS34">
        <v>364819.87</v>
      </c>
      <c r="AT34">
        <v>969829.93</v>
      </c>
      <c r="AU34">
        <v>28985.170000000002</v>
      </c>
      <c r="AV34"/>
      <c r="AW34">
        <v>120922.68</v>
      </c>
      <c r="AX34">
        <v>137797.29999999999</v>
      </c>
      <c r="AY34">
        <v>133530.53999999998</v>
      </c>
      <c r="AZ34">
        <v>21882.58</v>
      </c>
      <c r="BA34">
        <v>157179.04</v>
      </c>
      <c r="BB34">
        <v>16351636.919999998</v>
      </c>
      <c r="BD34" s="138" t="s">
        <v>174</v>
      </c>
      <c r="BE34" s="139">
        <f t="shared" si="14"/>
        <v>4.685157909989357E-3</v>
      </c>
      <c r="BF34" s="140">
        <f t="shared" si="15"/>
        <v>-1.3926562387496233E-2</v>
      </c>
      <c r="BG34" s="140">
        <f t="shared" si="16"/>
        <v>-1.8816768424585462E-3</v>
      </c>
      <c r="BH34" s="140">
        <f t="shared" si="17"/>
        <v>-1.134830922819674E-2</v>
      </c>
      <c r="BI34" s="140">
        <f t="shared" si="18"/>
        <v>-1.7759036731149536E-2</v>
      </c>
      <c r="BJ34" s="140">
        <f t="shared" si="19"/>
        <v>0</v>
      </c>
      <c r="BK34" s="140">
        <f t="shared" si="20"/>
        <v>-2.7573957777349278E-2</v>
      </c>
      <c r="BL34" s="140">
        <f t="shared" si="21"/>
        <v>-3.7479152670130134E-3</v>
      </c>
      <c r="BM34" s="140">
        <f t="shared" si="22"/>
        <v>-1.3299574231496081E-2</v>
      </c>
      <c r="BN34" s="140">
        <f t="shared" si="23"/>
        <v>1.1891686881426722E-5</v>
      </c>
      <c r="BO34" s="140">
        <f t="shared" si="24"/>
        <v>1.1209287971723825E-2</v>
      </c>
      <c r="BP34" s="140">
        <f t="shared" si="25"/>
        <v>-1.9178420305252075E-2</v>
      </c>
    </row>
    <row r="35" spans="1:68" ht="15" x14ac:dyDescent="0.25">
      <c r="A35" s="98">
        <v>29</v>
      </c>
      <c r="B35" s="124">
        <v>4</v>
      </c>
      <c r="C35" s="141" t="s">
        <v>423</v>
      </c>
      <c r="D35" s="126">
        <v>4.3479847304805728E-3</v>
      </c>
      <c r="E35" s="128">
        <f t="shared" si="1"/>
        <v>13316340.095116196</v>
      </c>
      <c r="F35" s="126">
        <v>4.3479847304805728E-3</v>
      </c>
      <c r="G35" s="128">
        <f t="shared" si="2"/>
        <v>5128453.6115460917</v>
      </c>
      <c r="H35" s="126">
        <v>4.3479847304805728E-3</v>
      </c>
      <c r="I35" s="128">
        <f t="shared" si="26"/>
        <v>466752.58242565632</v>
      </c>
      <c r="J35" s="126">
        <v>4.3479847304805728E-3</v>
      </c>
      <c r="K35" s="128">
        <f t="shared" si="26"/>
        <v>1240805.8294059928</v>
      </c>
      <c r="L35" s="126">
        <v>4.3479847304805728E-3</v>
      </c>
      <c r="M35" s="128">
        <f t="shared" si="4"/>
        <v>37083.766106955933</v>
      </c>
      <c r="N35" s="129" t="s">
        <v>391</v>
      </c>
      <c r="O35" s="128" t="str">
        <f t="shared" si="5"/>
        <v>NA</v>
      </c>
      <c r="P35" s="126">
        <v>4.3479847304805728E-3</v>
      </c>
      <c r="Q35" s="128">
        <f t="shared" si="6"/>
        <v>154709.11873502895</v>
      </c>
      <c r="R35" s="126">
        <v>4.3479847304805728E-3</v>
      </c>
      <c r="S35" s="128">
        <f t="shared" si="7"/>
        <v>176298.63255165025</v>
      </c>
      <c r="T35" s="126">
        <v>4.3479847304805728E-3</v>
      </c>
      <c r="U35" s="128">
        <f t="shared" si="8"/>
        <v>170839.73772253189</v>
      </c>
      <c r="V35" s="126">
        <v>4.3479847304805728E-3</v>
      </c>
      <c r="W35" s="128">
        <f t="shared" si="9"/>
        <v>27996.695419488056</v>
      </c>
      <c r="X35" s="131">
        <v>2.8432498674987941E-3</v>
      </c>
      <c r="Y35" s="128">
        <f t="shared" si="10"/>
        <v>326492.7563985259</v>
      </c>
      <c r="Z35" s="133" t="e">
        <f t="shared" si="11"/>
        <v>#VALUE!</v>
      </c>
      <c r="AA35" s="134">
        <v>4.665675764039875E-3</v>
      </c>
      <c r="AB35" s="135">
        <f t="shared" si="12"/>
        <v>21045772.825428121</v>
      </c>
      <c r="AD35" s="136">
        <v>20874639</v>
      </c>
      <c r="AE35" s="137">
        <f t="shared" si="13"/>
        <v>-8.1315058775770499E-3</v>
      </c>
      <c r="AP35" s="138" t="s">
        <v>175</v>
      </c>
      <c r="AQ35">
        <v>13316340.1</v>
      </c>
      <c r="AR35">
        <v>5128453.62</v>
      </c>
      <c r="AS35">
        <v>466752.57</v>
      </c>
      <c r="AT35">
        <v>1240805.8299999998</v>
      </c>
      <c r="AU35">
        <v>37083.74</v>
      </c>
      <c r="AV35"/>
      <c r="AW35">
        <v>154709.12</v>
      </c>
      <c r="AX35">
        <v>176298.63</v>
      </c>
      <c r="AY35">
        <v>170839.74</v>
      </c>
      <c r="AZ35">
        <v>27996.68</v>
      </c>
      <c r="BA35">
        <v>326492.75</v>
      </c>
      <c r="BB35">
        <v>21045772.779999997</v>
      </c>
      <c r="BD35" s="138" t="s">
        <v>175</v>
      </c>
      <c r="BE35" s="139">
        <f t="shared" si="14"/>
        <v>-4.8838034272193909E-3</v>
      </c>
      <c r="BF35" s="140">
        <f t="shared" si="15"/>
        <v>8.4539083763957024E-3</v>
      </c>
      <c r="BG35" s="140">
        <f t="shared" si="16"/>
        <v>1.2425656314007938E-2</v>
      </c>
      <c r="BH35" s="140">
        <f t="shared" si="17"/>
        <v>-5.9400708414614201E-4</v>
      </c>
      <c r="BI35" s="140">
        <f t="shared" si="18"/>
        <v>2.6106955934665166E-2</v>
      </c>
      <c r="BJ35" s="140">
        <f t="shared" si="19"/>
        <v>0</v>
      </c>
      <c r="BK35" s="140">
        <f t="shared" si="20"/>
        <v>-1.2649710406549275E-3</v>
      </c>
      <c r="BL35" s="140">
        <f t="shared" si="21"/>
        <v>2.5516502500977367E-3</v>
      </c>
      <c r="BM35" s="140">
        <f t="shared" si="22"/>
        <v>2.2774680983275175E-3</v>
      </c>
      <c r="BN35" s="140">
        <f t="shared" si="23"/>
        <v>1.5419488056068076E-2</v>
      </c>
      <c r="BO35" s="140">
        <f t="shared" si="24"/>
        <v>6.3985259039327502E-3</v>
      </c>
      <c r="BP35" s="140">
        <f t="shared" si="25"/>
        <v>4.5428123325109482E-2</v>
      </c>
    </row>
    <row r="36" spans="1:68" ht="15" x14ac:dyDescent="0.25">
      <c r="A36" s="98">
        <v>30</v>
      </c>
      <c r="B36" s="124">
        <v>6</v>
      </c>
      <c r="C36" s="141" t="s">
        <v>424</v>
      </c>
      <c r="D36" s="126">
        <v>3.7455974376731909E-3</v>
      </c>
      <c r="E36" s="128">
        <f t="shared" si="1"/>
        <v>11471440.778022038</v>
      </c>
      <c r="F36" s="126">
        <v>3.7455974376731909E-3</v>
      </c>
      <c r="G36" s="128">
        <f t="shared" si="2"/>
        <v>4417937.0207930151</v>
      </c>
      <c r="H36" s="126">
        <v>3.7455974376731909E-3</v>
      </c>
      <c r="I36" s="128">
        <f t="shared" si="26"/>
        <v>402086.80230752582</v>
      </c>
      <c r="J36" s="126">
        <v>3.7455974376731909E-3</v>
      </c>
      <c r="K36" s="128">
        <f t="shared" si="26"/>
        <v>1068899.5990929713</v>
      </c>
      <c r="L36" s="126">
        <v>3.7455974376731909E-3</v>
      </c>
      <c r="M36" s="128">
        <f t="shared" si="4"/>
        <v>31946.031994029949</v>
      </c>
      <c r="N36" s="129">
        <v>4.9999992344748612E-3</v>
      </c>
      <c r="O36" s="128">
        <f t="shared" si="5"/>
        <v>1240977.9999999998</v>
      </c>
      <c r="P36" s="126">
        <v>3.7455974376731909E-3</v>
      </c>
      <c r="Q36" s="128">
        <f t="shared" si="6"/>
        <v>133275.09516220255</v>
      </c>
      <c r="R36" s="126">
        <v>3.7455974376731909E-3</v>
      </c>
      <c r="S36" s="128">
        <f t="shared" si="7"/>
        <v>151873.51089840702</v>
      </c>
      <c r="T36" s="126">
        <v>3.7455974376731909E-3</v>
      </c>
      <c r="U36" s="128">
        <f t="shared" si="8"/>
        <v>147170.91331540834</v>
      </c>
      <c r="V36" s="126">
        <v>3.7455974376731909E-3</v>
      </c>
      <c r="W36" s="128">
        <f t="shared" si="9"/>
        <v>24117.920629164862</v>
      </c>
      <c r="X36" s="131">
        <v>2.300311765319649E-3</v>
      </c>
      <c r="Y36" s="128">
        <f t="shared" si="10"/>
        <v>264146.72077197931</v>
      </c>
      <c r="Z36" s="133">
        <f t="shared" si="11"/>
        <v>19196479.377195373</v>
      </c>
      <c r="AA36" s="134">
        <v>4.0048215459321732E-3</v>
      </c>
      <c r="AB36" s="135">
        <f t="shared" si="12"/>
        <v>19353872.392986741</v>
      </c>
      <c r="AD36" s="142">
        <v>19206449</v>
      </c>
      <c r="AE36" s="137">
        <f t="shared" si="13"/>
        <v>-7.6172556061784302E-3</v>
      </c>
      <c r="AP36" s="138" t="s">
        <v>176</v>
      </c>
      <c r="AQ36">
        <v>11471440.780000001</v>
      </c>
      <c r="AR36">
        <v>4417937.01</v>
      </c>
      <c r="AS36">
        <v>402086.81</v>
      </c>
      <c r="AT36">
        <v>1068899.6300000001</v>
      </c>
      <c r="AU36">
        <v>31946.049999999996</v>
      </c>
      <c r="AV36">
        <v>1240977.99</v>
      </c>
      <c r="AW36">
        <v>133275.09</v>
      </c>
      <c r="AX36">
        <v>151873.53000000003</v>
      </c>
      <c r="AY36">
        <v>147170.92999999996</v>
      </c>
      <c r="AZ36">
        <v>24117.93</v>
      </c>
      <c r="BA36">
        <v>264146.71000000002</v>
      </c>
      <c r="BB36">
        <v>19353872.460000001</v>
      </c>
      <c r="BD36" s="138" t="s">
        <v>176</v>
      </c>
      <c r="BE36" s="139">
        <f t="shared" si="14"/>
        <v>-1.9779633730649948E-3</v>
      </c>
      <c r="BF36" s="140">
        <f t="shared" si="15"/>
        <v>-1.0793015360832214E-2</v>
      </c>
      <c r="BG36" s="140">
        <f t="shared" si="16"/>
        <v>-7.6924741733819246E-3</v>
      </c>
      <c r="BH36" s="140">
        <f t="shared" si="17"/>
        <v>-3.0907028820365667E-2</v>
      </c>
      <c r="BI36" s="140">
        <f t="shared" si="18"/>
        <v>-1.8005970046942821E-2</v>
      </c>
      <c r="BJ36" s="140">
        <f t="shared" si="19"/>
        <v>9.9999997764825821E-3</v>
      </c>
      <c r="BK36" s="140">
        <f t="shared" si="20"/>
        <v>5.162202549399808E-3</v>
      </c>
      <c r="BL36" s="140">
        <f t="shared" si="21"/>
        <v>-1.9101593003142625E-2</v>
      </c>
      <c r="BM36" s="140">
        <f t="shared" si="22"/>
        <v>1.6684591624652967E-2</v>
      </c>
      <c r="BN36" s="140">
        <f t="shared" si="23"/>
        <v>-9.3708351378154475E-3</v>
      </c>
      <c r="BO36" s="140">
        <f t="shared" si="24"/>
        <v>1.077197928680107E-2</v>
      </c>
      <c r="BP36" s="140">
        <f t="shared" si="25"/>
        <v>-6.701325997710228E-2</v>
      </c>
    </row>
    <row r="37" spans="1:68" ht="15" x14ac:dyDescent="0.25">
      <c r="A37" s="98">
        <v>31</v>
      </c>
      <c r="B37" s="124">
        <v>4</v>
      </c>
      <c r="C37" s="143" t="s">
        <v>425</v>
      </c>
      <c r="D37" s="126">
        <v>3.3797163794644118E-3</v>
      </c>
      <c r="E37" s="128">
        <f t="shared" si="1"/>
        <v>10350876.445927294</v>
      </c>
      <c r="F37" s="126">
        <v>3.3797163794644118E-3</v>
      </c>
      <c r="G37" s="128">
        <f t="shared" si="2"/>
        <v>3986379.8395515522</v>
      </c>
      <c r="H37" s="126">
        <v>3.3797163794644118E-3</v>
      </c>
      <c r="I37" s="128">
        <f t="shared" si="26"/>
        <v>362809.77182892431</v>
      </c>
      <c r="J37" s="126">
        <v>3.3797163794644118E-3</v>
      </c>
      <c r="K37" s="128">
        <f t="shared" si="26"/>
        <v>964486.3184500772</v>
      </c>
      <c r="L37" s="126">
        <v>3.3797163794644118E-3</v>
      </c>
      <c r="M37" s="128">
        <f t="shared" si="4"/>
        <v>28825.448913214892</v>
      </c>
      <c r="N37" s="129" t="s">
        <v>391</v>
      </c>
      <c r="O37" s="128" t="str">
        <f t="shared" si="5"/>
        <v>NA</v>
      </c>
      <c r="P37" s="126">
        <v>3.3797163794644118E-3</v>
      </c>
      <c r="Q37" s="128">
        <f t="shared" si="6"/>
        <v>120256.38889111046</v>
      </c>
      <c r="R37" s="126">
        <v>3.3797163794644118E-3</v>
      </c>
      <c r="S37" s="128">
        <f t="shared" si="7"/>
        <v>137038.05625971768</v>
      </c>
      <c r="T37" s="126">
        <v>3.3797163794644118E-3</v>
      </c>
      <c r="U37" s="128">
        <f t="shared" si="8"/>
        <v>132794.82234530011</v>
      </c>
      <c r="V37" s="126">
        <v>3.3797163794644118E-3</v>
      </c>
      <c r="W37" s="128">
        <f t="shared" si="9"/>
        <v>21762.010665953243</v>
      </c>
      <c r="X37" s="131">
        <v>1.5078916515455611E-3</v>
      </c>
      <c r="Y37" s="128">
        <f t="shared" si="10"/>
        <v>173152.45743650582</v>
      </c>
      <c r="Z37" s="133" t="e">
        <f t="shared" si="11"/>
        <v>#VALUE!</v>
      </c>
      <c r="AA37" s="134">
        <v>3.7597298528760899E-3</v>
      </c>
      <c r="AB37" s="135">
        <f t="shared" si="12"/>
        <v>16278381.560269646</v>
      </c>
      <c r="AD37" s="136">
        <v>16145356</v>
      </c>
      <c r="AE37" s="137">
        <f t="shared" si="13"/>
        <v>-8.1719156033496221E-3</v>
      </c>
      <c r="AP37" s="138" t="s">
        <v>177</v>
      </c>
      <c r="AQ37">
        <v>10350876.440000001</v>
      </c>
      <c r="AR37">
        <v>3986379.82</v>
      </c>
      <c r="AS37">
        <v>362809.79000000004</v>
      </c>
      <c r="AT37">
        <v>964486.34999999986</v>
      </c>
      <c r="AU37">
        <v>28825.449999999993</v>
      </c>
      <c r="AV37"/>
      <c r="AW37">
        <v>120256.38</v>
      </c>
      <c r="AX37">
        <v>137038.04999999999</v>
      </c>
      <c r="AY37">
        <v>132794.82</v>
      </c>
      <c r="AZ37">
        <v>21762.01</v>
      </c>
      <c r="BA37">
        <v>173152.44999999998</v>
      </c>
      <c r="BB37">
        <v>16278381.560000001</v>
      </c>
      <c r="BD37" s="138" t="s">
        <v>177</v>
      </c>
      <c r="BE37" s="139">
        <f t="shared" si="14"/>
        <v>5.9272926300764084E-3</v>
      </c>
      <c r="BF37" s="140">
        <f t="shared" si="15"/>
        <v>-1.955155236646533E-2</v>
      </c>
      <c r="BG37" s="140">
        <f t="shared" si="16"/>
        <v>-1.8171075731515884E-2</v>
      </c>
      <c r="BH37" s="140">
        <f t="shared" si="17"/>
        <v>-3.1549922656267881E-2</v>
      </c>
      <c r="BI37" s="140">
        <f t="shared" si="18"/>
        <v>-1.0867851015063934E-3</v>
      </c>
      <c r="BJ37" s="140">
        <f t="shared" si="19"/>
        <v>0</v>
      </c>
      <c r="BK37" s="140">
        <f t="shared" si="20"/>
        <v>8.8911104539874941E-3</v>
      </c>
      <c r="BL37" s="140">
        <f t="shared" si="21"/>
        <v>6.2597176874987781E-3</v>
      </c>
      <c r="BM37" s="140">
        <f t="shared" si="22"/>
        <v>-2.3453001049347222E-3</v>
      </c>
      <c r="BN37" s="140">
        <f t="shared" si="23"/>
        <v>6.6595324460649863E-4</v>
      </c>
      <c r="BO37" s="140">
        <f t="shared" si="24"/>
        <v>7.4365058389957994E-3</v>
      </c>
      <c r="BP37" s="140">
        <f t="shared" si="25"/>
        <v>2.6964582502841949E-4</v>
      </c>
    </row>
    <row r="38" spans="1:68" ht="15" x14ac:dyDescent="0.25">
      <c r="A38" s="98">
        <v>32</v>
      </c>
      <c r="B38" s="124">
        <v>5</v>
      </c>
      <c r="C38" s="141" t="s">
        <v>426</v>
      </c>
      <c r="D38" s="126">
        <v>7.4899726219143144E-3</v>
      </c>
      <c r="E38" s="128">
        <f t="shared" si="1"/>
        <v>22939138.225882463</v>
      </c>
      <c r="F38" s="126">
        <v>7.4899726219143144E-3</v>
      </c>
      <c r="G38" s="128">
        <f t="shared" si="2"/>
        <v>8834432.3920825347</v>
      </c>
      <c r="H38" s="126">
        <v>7.4899726219143144E-3</v>
      </c>
      <c r="I38" s="128">
        <f t="shared" si="26"/>
        <v>804042.3967150338</v>
      </c>
      <c r="J38" s="126">
        <v>7.4899726219143144E-3</v>
      </c>
      <c r="K38" s="128">
        <f t="shared" si="26"/>
        <v>2137450.3977007689</v>
      </c>
      <c r="L38" s="126">
        <v>7.4899726219143144E-3</v>
      </c>
      <c r="M38" s="128">
        <f t="shared" si="4"/>
        <v>63881.639443539199</v>
      </c>
      <c r="N38" s="129" t="s">
        <v>391</v>
      </c>
      <c r="O38" s="128" t="str">
        <f t="shared" si="5"/>
        <v>NA</v>
      </c>
      <c r="P38" s="126">
        <v>7.4899726219143144E-3</v>
      </c>
      <c r="Q38" s="128">
        <f t="shared" si="6"/>
        <v>266506.70034845819</v>
      </c>
      <c r="R38" s="126">
        <v>7.4899726219143144E-3</v>
      </c>
      <c r="S38" s="128">
        <f t="shared" si="7"/>
        <v>303697.4628351198</v>
      </c>
      <c r="T38" s="126">
        <v>7.4899726219143144E-3</v>
      </c>
      <c r="U38" s="128">
        <f t="shared" si="8"/>
        <v>294293.80220830638</v>
      </c>
      <c r="V38" s="126">
        <v>7.4899726219143144E-3</v>
      </c>
      <c r="W38" s="128">
        <f t="shared" si="9"/>
        <v>48227.971162369373</v>
      </c>
      <c r="X38" s="131">
        <v>8.66426232404356E-3</v>
      </c>
      <c r="Y38" s="128">
        <f t="shared" si="10"/>
        <v>994924.47732896253</v>
      </c>
      <c r="Z38" s="133" t="e">
        <f t="shared" si="11"/>
        <v>#VALUE!</v>
      </c>
      <c r="AA38" s="134">
        <v>7.9834050329349385E-3</v>
      </c>
      <c r="AB38" s="135">
        <f t="shared" si="12"/>
        <v>36686595.465707555</v>
      </c>
      <c r="AD38" s="142">
        <v>36391793</v>
      </c>
      <c r="AE38" s="137">
        <f t="shared" si="13"/>
        <v>-8.0356997416977105E-3</v>
      </c>
      <c r="AP38" s="138" t="s">
        <v>178</v>
      </c>
      <c r="AQ38">
        <v>22939138.219999999</v>
      </c>
      <c r="AR38">
        <v>8834432.4000000004</v>
      </c>
      <c r="AS38">
        <v>804042.39</v>
      </c>
      <c r="AT38">
        <v>2137450.36</v>
      </c>
      <c r="AU38">
        <v>63881.660000000011</v>
      </c>
      <c r="AV38"/>
      <c r="AW38">
        <v>266506.71000000002</v>
      </c>
      <c r="AX38">
        <v>303697.45</v>
      </c>
      <c r="AY38">
        <v>294293.82</v>
      </c>
      <c r="AZ38">
        <v>48227.97</v>
      </c>
      <c r="BA38">
        <v>994924.47000000009</v>
      </c>
      <c r="BB38">
        <v>36686595.450000003</v>
      </c>
      <c r="BD38" s="138" t="s">
        <v>178</v>
      </c>
      <c r="BE38" s="139">
        <f t="shared" si="14"/>
        <v>5.8824643492698669E-3</v>
      </c>
      <c r="BF38" s="140">
        <f t="shared" si="15"/>
        <v>7.9174656420946121E-3</v>
      </c>
      <c r="BG38" s="140">
        <f t="shared" si="16"/>
        <v>6.7150337854400277E-3</v>
      </c>
      <c r="BH38" s="140">
        <f t="shared" si="17"/>
        <v>3.7700769025832415E-2</v>
      </c>
      <c r="BI38" s="140">
        <f t="shared" si="18"/>
        <v>-2.0556460811349098E-2</v>
      </c>
      <c r="BJ38" s="140">
        <f t="shared" si="19"/>
        <v>0</v>
      </c>
      <c r="BK38" s="140">
        <f t="shared" si="20"/>
        <v>-9.6515418263152242E-3</v>
      </c>
      <c r="BL38" s="140">
        <f t="shared" si="21"/>
        <v>1.2835119792725891E-2</v>
      </c>
      <c r="BM38" s="140">
        <f t="shared" si="22"/>
        <v>1.7791693622712046E-2</v>
      </c>
      <c r="BN38" s="140">
        <f t="shared" si="23"/>
        <v>1.1623693717410788E-3</v>
      </c>
      <c r="BO38" s="140">
        <f t="shared" si="24"/>
        <v>7.3289624415338039E-3</v>
      </c>
      <c r="BP38" s="140">
        <f t="shared" si="25"/>
        <v>1.5707552433013916E-2</v>
      </c>
    </row>
    <row r="39" spans="1:68" ht="15" x14ac:dyDescent="0.25">
      <c r="A39" s="98">
        <v>33</v>
      </c>
      <c r="B39" s="124">
        <v>1</v>
      </c>
      <c r="C39" s="141" t="s">
        <v>427</v>
      </c>
      <c r="D39" s="126">
        <v>8.8043221236272472E-3</v>
      </c>
      <c r="E39" s="128">
        <f t="shared" si="1"/>
        <v>26964526.090278536</v>
      </c>
      <c r="F39" s="126">
        <v>8.8043221236272472E-3</v>
      </c>
      <c r="G39" s="128">
        <f t="shared" si="2"/>
        <v>10384709.328806844</v>
      </c>
      <c r="H39" s="126">
        <v>8.8043221236272472E-3</v>
      </c>
      <c r="I39" s="128">
        <f t="shared" si="26"/>
        <v>945136.73401427723</v>
      </c>
      <c r="J39" s="126">
        <v>8.8043221236272472E-3</v>
      </c>
      <c r="K39" s="128">
        <f t="shared" si="26"/>
        <v>2512532.7921189326</v>
      </c>
      <c r="L39" s="126">
        <v>8.8043221236272472E-3</v>
      </c>
      <c r="M39" s="128">
        <f t="shared" si="4"/>
        <v>75091.667197921226</v>
      </c>
      <c r="N39" s="129" t="s">
        <v>391</v>
      </c>
      <c r="O39" s="128" t="str">
        <f t="shared" si="5"/>
        <v>NA</v>
      </c>
      <c r="P39" s="126">
        <v>8.8043221236272472E-3</v>
      </c>
      <c r="Q39" s="128">
        <f t="shared" si="6"/>
        <v>313273.62013415794</v>
      </c>
      <c r="R39" s="126">
        <v>8.8043221236272472E-3</v>
      </c>
      <c r="S39" s="128">
        <f t="shared" si="7"/>
        <v>356990.66283707146</v>
      </c>
      <c r="T39" s="126">
        <v>8.8043221236272472E-3</v>
      </c>
      <c r="U39" s="128">
        <f t="shared" si="8"/>
        <v>345936.83641085745</v>
      </c>
      <c r="V39" s="126">
        <v>8.8043221236272472E-3</v>
      </c>
      <c r="W39" s="128">
        <f t="shared" si="9"/>
        <v>56691.074175646456</v>
      </c>
      <c r="X39" s="131">
        <v>1.1032595466713488E-2</v>
      </c>
      <c r="Y39" s="128">
        <f t="shared" si="10"/>
        <v>1266882.1496599247</v>
      </c>
      <c r="Z39" s="133" t="e">
        <f t="shared" si="11"/>
        <v>#VALUE!</v>
      </c>
      <c r="AA39" s="134">
        <v>9.0784780031491746E-3</v>
      </c>
      <c r="AB39" s="135">
        <f t="shared" si="12"/>
        <v>43221770.955634177</v>
      </c>
      <c r="AD39" s="136">
        <v>42875238</v>
      </c>
      <c r="AE39" s="137">
        <f t="shared" si="13"/>
        <v>-8.0175556894668265E-3</v>
      </c>
      <c r="AP39" s="138" t="s">
        <v>179</v>
      </c>
      <c r="AQ39">
        <v>26964526.07</v>
      </c>
      <c r="AR39">
        <v>10384709.33</v>
      </c>
      <c r="AS39">
        <v>945136.7300000001</v>
      </c>
      <c r="AT39">
        <v>2512532.7800000003</v>
      </c>
      <c r="AU39">
        <v>75091.7</v>
      </c>
      <c r="AV39"/>
      <c r="AW39">
        <v>313273.62</v>
      </c>
      <c r="AX39">
        <v>356990.67000000004</v>
      </c>
      <c r="AY39">
        <v>345936.85</v>
      </c>
      <c r="AZ39">
        <v>56691.060000000005</v>
      </c>
      <c r="BA39">
        <v>1266882.1599999999</v>
      </c>
      <c r="BB39">
        <v>43221770.969999999</v>
      </c>
      <c r="BD39" s="138" t="s">
        <v>179</v>
      </c>
      <c r="BE39" s="139">
        <f t="shared" si="14"/>
        <v>2.0278535783290863E-2</v>
      </c>
      <c r="BF39" s="140">
        <f t="shared" si="15"/>
        <v>1.1931564658880234E-3</v>
      </c>
      <c r="BG39" s="140">
        <f t="shared" si="16"/>
        <v>4.0142771322280169E-3</v>
      </c>
      <c r="BH39" s="140">
        <f t="shared" si="17"/>
        <v>1.2118932325392962E-2</v>
      </c>
      <c r="BI39" s="140">
        <f t="shared" si="18"/>
        <v>-3.2802078771055676E-2</v>
      </c>
      <c r="BJ39" s="140">
        <f t="shared" si="19"/>
        <v>0</v>
      </c>
      <c r="BK39" s="140">
        <f t="shared" si="20"/>
        <v>1.341579481959343E-4</v>
      </c>
      <c r="BL39" s="140">
        <f t="shared" si="21"/>
        <v>-7.162928581237793E-3</v>
      </c>
      <c r="BM39" s="140">
        <f t="shared" si="22"/>
        <v>1.3589142530690879E-2</v>
      </c>
      <c r="BN39" s="140">
        <f t="shared" si="23"/>
        <v>1.4175646450894419E-2</v>
      </c>
      <c r="BO39" s="140">
        <f t="shared" si="24"/>
        <v>-1.0340075241401792E-2</v>
      </c>
      <c r="BP39" s="140">
        <f t="shared" si="25"/>
        <v>-1.4365822076797485E-2</v>
      </c>
    </row>
    <row r="40" spans="1:68" ht="15" x14ac:dyDescent="0.25">
      <c r="A40" s="98">
        <v>34</v>
      </c>
      <c r="B40" s="124">
        <v>3</v>
      </c>
      <c r="C40" s="141" t="s">
        <v>428</v>
      </c>
      <c r="D40" s="126">
        <v>4.4748524920413986E-3</v>
      </c>
      <c r="E40" s="128">
        <f t="shared" si="1"/>
        <v>13704891.197470998</v>
      </c>
      <c r="F40" s="126">
        <v>4.4748524920413986E-3</v>
      </c>
      <c r="G40" s="128">
        <f t="shared" si="2"/>
        <v>5278094.3003471019</v>
      </c>
      <c r="H40" s="126">
        <v>4.4748524920413986E-3</v>
      </c>
      <c r="I40" s="128">
        <f t="shared" ref="I40:K55" si="27">H40*I$113</f>
        <v>480371.73221704317</v>
      </c>
      <c r="J40" s="126">
        <v>4.4748524920413986E-3</v>
      </c>
      <c r="K40" s="128">
        <f t="shared" si="27"/>
        <v>1277010.7077269347</v>
      </c>
      <c r="L40" s="126">
        <v>4.4748524920413986E-3</v>
      </c>
      <c r="M40" s="128">
        <f t="shared" si="4"/>
        <v>38165.815536258946</v>
      </c>
      <c r="N40" s="129" t="s">
        <v>391</v>
      </c>
      <c r="O40" s="128" t="str">
        <f t="shared" si="5"/>
        <v>NA</v>
      </c>
      <c r="P40" s="126">
        <v>4.4748524920413986E-3</v>
      </c>
      <c r="Q40" s="128">
        <f t="shared" si="6"/>
        <v>159223.30192646617</v>
      </c>
      <c r="R40" s="126">
        <v>4.4748524920413986E-3</v>
      </c>
      <c r="S40" s="128">
        <f t="shared" si="7"/>
        <v>181442.76581441594</v>
      </c>
      <c r="T40" s="126">
        <v>4.4748524920413986E-3</v>
      </c>
      <c r="U40" s="128">
        <f t="shared" si="8"/>
        <v>175824.58851065798</v>
      </c>
      <c r="V40" s="126">
        <v>4.4748524920413986E-3</v>
      </c>
      <c r="W40" s="128">
        <f t="shared" si="9"/>
        <v>28813.59757051702</v>
      </c>
      <c r="X40" s="131">
        <v>3.522020177651887E-3</v>
      </c>
      <c r="Y40" s="128">
        <f t="shared" si="10"/>
        <v>404436.51788661454</v>
      </c>
      <c r="Z40" s="133" t="e">
        <f t="shared" si="11"/>
        <v>#VALUE!</v>
      </c>
      <c r="AA40" s="134">
        <v>4.7802421126221743E-3</v>
      </c>
      <c r="AB40" s="135">
        <f t="shared" si="12"/>
        <v>21728274.525007013</v>
      </c>
      <c r="AD40" s="142">
        <v>21552148</v>
      </c>
      <c r="AE40" s="137">
        <f t="shared" si="13"/>
        <v>-8.1058679926153676E-3</v>
      </c>
      <c r="AP40" s="138" t="s">
        <v>180</v>
      </c>
      <c r="AQ40">
        <v>13704891.179999998</v>
      </c>
      <c r="AR40">
        <v>5278094.3000000007</v>
      </c>
      <c r="AS40">
        <v>480371.73999999993</v>
      </c>
      <c r="AT40">
        <v>1277010.71</v>
      </c>
      <c r="AU40">
        <v>38165.78</v>
      </c>
      <c r="AV40"/>
      <c r="AW40">
        <v>159223.29</v>
      </c>
      <c r="AX40">
        <v>181442.76</v>
      </c>
      <c r="AY40">
        <v>175824.60000000003</v>
      </c>
      <c r="AZ40">
        <v>28813.61</v>
      </c>
      <c r="BA40">
        <v>404436.52999999997</v>
      </c>
      <c r="BB40">
        <v>21728274.5</v>
      </c>
      <c r="BD40" s="138" t="s">
        <v>180</v>
      </c>
      <c r="BE40" s="139">
        <f t="shared" si="14"/>
        <v>1.7471000552177429E-2</v>
      </c>
      <c r="BF40" s="140">
        <f t="shared" si="15"/>
        <v>-3.47101129591465E-4</v>
      </c>
      <c r="BG40" s="140">
        <f t="shared" si="16"/>
        <v>-7.7829567599110305E-3</v>
      </c>
      <c r="BH40" s="140">
        <f t="shared" si="17"/>
        <v>-2.2730652708560228E-3</v>
      </c>
      <c r="BI40" s="140">
        <f t="shared" si="18"/>
        <v>3.5536258947104216E-2</v>
      </c>
      <c r="BJ40" s="140">
        <f t="shared" si="19"/>
        <v>0</v>
      </c>
      <c r="BK40" s="140">
        <f t="shared" si="20"/>
        <v>1.1926466162549332E-2</v>
      </c>
      <c r="BL40" s="140">
        <f t="shared" si="21"/>
        <v>5.814415926579386E-3</v>
      </c>
      <c r="BM40" s="140">
        <f t="shared" si="22"/>
        <v>1.1489342054119334E-2</v>
      </c>
      <c r="BN40" s="140">
        <f t="shared" si="23"/>
        <v>-1.2429482980223838E-2</v>
      </c>
      <c r="BO40" s="140">
        <f t="shared" si="24"/>
        <v>-1.2113385426346213E-2</v>
      </c>
      <c r="BP40" s="140">
        <f t="shared" si="25"/>
        <v>2.5007013231515884E-2</v>
      </c>
    </row>
    <row r="41" spans="1:68" ht="15" x14ac:dyDescent="0.25">
      <c r="A41" s="98">
        <v>35</v>
      </c>
      <c r="B41" s="124">
        <v>3</v>
      </c>
      <c r="C41" s="141" t="s">
        <v>429</v>
      </c>
      <c r="D41" s="126">
        <v>4.4180149461301842E-3</v>
      </c>
      <c r="E41" s="128">
        <f t="shared" si="1"/>
        <v>13530817.888008879</v>
      </c>
      <c r="F41" s="126">
        <v>4.4180149461301842E-3</v>
      </c>
      <c r="G41" s="128">
        <f t="shared" si="2"/>
        <v>5211054.3414538773</v>
      </c>
      <c r="H41" s="126">
        <v>4.4180149461301842E-3</v>
      </c>
      <c r="I41" s="128">
        <f t="shared" si="27"/>
        <v>474270.26844077458</v>
      </c>
      <c r="J41" s="126">
        <v>4.4180149461301842E-3</v>
      </c>
      <c r="K41" s="128">
        <f t="shared" si="27"/>
        <v>1260790.6971548253</v>
      </c>
      <c r="L41" s="126">
        <v>4.4180149461301842E-3</v>
      </c>
      <c r="M41" s="128">
        <f t="shared" si="4"/>
        <v>37681.050664871764</v>
      </c>
      <c r="N41" s="129" t="s">
        <v>391</v>
      </c>
      <c r="O41" s="128" t="str">
        <f t="shared" si="5"/>
        <v>NA</v>
      </c>
      <c r="P41" s="126">
        <v>4.4180149461301842E-3</v>
      </c>
      <c r="Q41" s="128">
        <f t="shared" si="6"/>
        <v>157200.91979220009</v>
      </c>
      <c r="R41" s="126">
        <v>4.4180149461301842E-3</v>
      </c>
      <c r="S41" s="128">
        <f t="shared" si="7"/>
        <v>179138.1621318195</v>
      </c>
      <c r="T41" s="126">
        <v>4.4180149461301842E-3</v>
      </c>
      <c r="U41" s="128">
        <f t="shared" si="8"/>
        <v>173591.34436695304</v>
      </c>
      <c r="V41" s="126">
        <v>4.4180149461301842E-3</v>
      </c>
      <c r="W41" s="128">
        <f t="shared" si="9"/>
        <v>28447.620328206984</v>
      </c>
      <c r="X41" s="131">
        <v>3.2472298553058573E-3</v>
      </c>
      <c r="Y41" s="128">
        <f t="shared" si="10"/>
        <v>372882.11572170077</v>
      </c>
      <c r="Z41" s="133" t="e">
        <f t="shared" si="11"/>
        <v>#VALUE!</v>
      </c>
      <c r="AA41" s="134">
        <v>4.6716875019495556E-3</v>
      </c>
      <c r="AB41" s="135">
        <f t="shared" si="12"/>
        <v>21425874.408064112</v>
      </c>
      <c r="AD41" s="136">
        <v>21251984</v>
      </c>
      <c r="AE41" s="137">
        <f t="shared" si="13"/>
        <v>-8.1159071855039233E-3</v>
      </c>
      <c r="AP41" s="138" t="s">
        <v>430</v>
      </c>
      <c r="AQ41">
        <v>13530817.890000001</v>
      </c>
      <c r="AR41">
        <v>5211054.3600000003</v>
      </c>
      <c r="AS41">
        <v>474270.25999999995</v>
      </c>
      <c r="AT41">
        <v>1260790.6900000002</v>
      </c>
      <c r="AU41">
        <v>37681.089999999997</v>
      </c>
      <c r="AV41"/>
      <c r="AW41">
        <v>157200.90999999997</v>
      </c>
      <c r="AX41">
        <v>179138.15000000002</v>
      </c>
      <c r="AY41">
        <v>173591.31999999998</v>
      </c>
      <c r="AZ41">
        <v>28447.630000000005</v>
      </c>
      <c r="BA41">
        <v>372882.12</v>
      </c>
      <c r="BB41">
        <v>21425874.420000002</v>
      </c>
      <c r="BD41" s="138" t="s">
        <v>430</v>
      </c>
      <c r="BE41" s="139">
        <f t="shared" si="14"/>
        <v>-1.9911210983991623E-3</v>
      </c>
      <c r="BF41" s="140">
        <f t="shared" si="15"/>
        <v>1.8546123057603836E-2</v>
      </c>
      <c r="BG41" s="140">
        <f t="shared" si="16"/>
        <v>8.4407746326178312E-3</v>
      </c>
      <c r="BH41" s="140">
        <f t="shared" si="17"/>
        <v>7.1548251435160637E-3</v>
      </c>
      <c r="BI41" s="140">
        <f t="shared" si="18"/>
        <v>-3.9335128232778516E-2</v>
      </c>
      <c r="BJ41" s="140">
        <f t="shared" si="19"/>
        <v>0</v>
      </c>
      <c r="BK41" s="140">
        <f t="shared" si="20"/>
        <v>9.7922001150436699E-3</v>
      </c>
      <c r="BL41" s="140">
        <f t="shared" si="21"/>
        <v>1.2131819472415373E-2</v>
      </c>
      <c r="BM41" s="140">
        <f t="shared" si="22"/>
        <v>-2.436695306096226E-2</v>
      </c>
      <c r="BN41" s="140">
        <f t="shared" si="23"/>
        <v>-9.6717930209706537E-3</v>
      </c>
      <c r="BO41" s="140">
        <f t="shared" si="24"/>
        <v>-4.2782992240972817E-3</v>
      </c>
      <c r="BP41" s="140">
        <f t="shared" si="25"/>
        <v>-1.1935889720916748E-2</v>
      </c>
    </row>
    <row r="42" spans="1:68" ht="15" x14ac:dyDescent="0.25">
      <c r="A42" s="98">
        <v>36</v>
      </c>
      <c r="B42" s="124">
        <v>3</v>
      </c>
      <c r="C42" s="143" t="s">
        <v>431</v>
      </c>
      <c r="D42" s="126">
        <v>4.9138639581579151E-3</v>
      </c>
      <c r="E42" s="128">
        <f t="shared" si="1"/>
        <v>15049428.115340294</v>
      </c>
      <c r="F42" s="126">
        <v>4.9138639581579151E-3</v>
      </c>
      <c r="G42" s="128">
        <f t="shared" si="2"/>
        <v>5795908.892273359</v>
      </c>
      <c r="H42" s="126">
        <v>4.9138639581579151E-3</v>
      </c>
      <c r="I42" s="128">
        <f t="shared" si="27"/>
        <v>527499.25179821462</v>
      </c>
      <c r="J42" s="126">
        <v>4.9138639581579151E-3</v>
      </c>
      <c r="K42" s="128">
        <f t="shared" si="27"/>
        <v>1402293.5732611101</v>
      </c>
      <c r="L42" s="126">
        <v>4.9138639581579151E-3</v>
      </c>
      <c r="M42" s="128">
        <f t="shared" si="4"/>
        <v>41910.124575250738</v>
      </c>
      <c r="N42" s="129" t="s">
        <v>391</v>
      </c>
      <c r="O42" s="128" t="str">
        <f t="shared" si="5"/>
        <v>NA</v>
      </c>
      <c r="P42" s="126">
        <v>4.9138639581579151E-3</v>
      </c>
      <c r="Q42" s="128">
        <f t="shared" si="6"/>
        <v>174844.11967251939</v>
      </c>
      <c r="R42" s="126">
        <v>4.9138639581579151E-3</v>
      </c>
      <c r="S42" s="128">
        <f t="shared" si="7"/>
        <v>199243.45416740436</v>
      </c>
      <c r="T42" s="126">
        <v>4.9138639581579151E-3</v>
      </c>
      <c r="U42" s="128">
        <f t="shared" si="8"/>
        <v>193074.09796793709</v>
      </c>
      <c r="V42" s="126">
        <v>4.9138639581579151E-3</v>
      </c>
      <c r="W42" s="128">
        <f t="shared" si="9"/>
        <v>31640.394595898601</v>
      </c>
      <c r="X42" s="131">
        <v>4.0583329873771839E-3</v>
      </c>
      <c r="Y42" s="128">
        <f t="shared" si="10"/>
        <v>466021.76564856648</v>
      </c>
      <c r="Z42" s="133" t="e">
        <f t="shared" si="11"/>
        <v>#VALUE!</v>
      </c>
      <c r="AA42" s="134">
        <v>5.1523026020581422E-3</v>
      </c>
      <c r="AB42" s="135">
        <f t="shared" si="12"/>
        <v>23881863.78930055</v>
      </c>
      <c r="AD42" s="142">
        <v>23688455</v>
      </c>
      <c r="AE42" s="137">
        <f t="shared" si="13"/>
        <v>-8.098563454130403E-3</v>
      </c>
      <c r="AP42" s="138" t="s">
        <v>181</v>
      </c>
      <c r="AQ42">
        <v>15049428.129999999</v>
      </c>
      <c r="AR42">
        <v>5795908.9100000001</v>
      </c>
      <c r="AS42">
        <v>527499.24</v>
      </c>
      <c r="AT42">
        <v>1402293.58</v>
      </c>
      <c r="AU42">
        <v>41910.130000000012</v>
      </c>
      <c r="AV42"/>
      <c r="AW42">
        <v>174844.13</v>
      </c>
      <c r="AX42">
        <v>199243.46000000002</v>
      </c>
      <c r="AY42">
        <v>193074.1</v>
      </c>
      <c r="AZ42">
        <v>31640.39</v>
      </c>
      <c r="BA42">
        <v>466021.77999999997</v>
      </c>
      <c r="BB42">
        <v>23881863.850000001</v>
      </c>
      <c r="BD42" s="138" t="s">
        <v>181</v>
      </c>
      <c r="BE42" s="139">
        <f t="shared" si="14"/>
        <v>-1.4659704640507698E-2</v>
      </c>
      <c r="BF42" s="140">
        <f t="shared" si="15"/>
        <v>1.7726641148328781E-2</v>
      </c>
      <c r="BG42" s="140">
        <f t="shared" si="16"/>
        <v>1.1798214633017778E-2</v>
      </c>
      <c r="BH42" s="140">
        <f t="shared" si="17"/>
        <v>-6.7388899624347687E-3</v>
      </c>
      <c r="BI42" s="140">
        <f t="shared" si="18"/>
        <v>-5.4247492735157721E-3</v>
      </c>
      <c r="BJ42" s="140">
        <f t="shared" si="19"/>
        <v>0</v>
      </c>
      <c r="BK42" s="140">
        <f t="shared" si="20"/>
        <v>-1.0327480616979301E-2</v>
      </c>
      <c r="BL42" s="140">
        <f t="shared" si="21"/>
        <v>-5.8325956633780152E-3</v>
      </c>
      <c r="BM42" s="140">
        <f t="shared" si="22"/>
        <v>2.0320629118941724E-3</v>
      </c>
      <c r="BN42" s="140">
        <f t="shared" si="23"/>
        <v>4.5958986011100933E-3</v>
      </c>
      <c r="BO42" s="140">
        <f t="shared" si="24"/>
        <v>-1.4351433492265642E-2</v>
      </c>
      <c r="BP42" s="140">
        <f t="shared" si="25"/>
        <v>-6.0699451714754105E-2</v>
      </c>
    </row>
    <row r="43" spans="1:68" ht="15" x14ac:dyDescent="0.25">
      <c r="A43" s="98">
        <v>37</v>
      </c>
      <c r="B43" s="124">
        <v>3</v>
      </c>
      <c r="C43" s="143" t="s">
        <v>432</v>
      </c>
      <c r="D43" s="126">
        <v>4.075021479174816E-3</v>
      </c>
      <c r="E43" s="128">
        <f t="shared" si="1"/>
        <v>12480350.156518972</v>
      </c>
      <c r="F43" s="126">
        <v>4.075021479174816E-3</v>
      </c>
      <c r="G43" s="128">
        <f t="shared" si="2"/>
        <v>4806493.1036894685</v>
      </c>
      <c r="H43" s="126">
        <v>4.075021479174816E-3</v>
      </c>
      <c r="I43" s="128">
        <f t="shared" si="27"/>
        <v>437450.20204673911</v>
      </c>
      <c r="J43" s="126">
        <v>4.075021479174816E-3</v>
      </c>
      <c r="K43" s="128">
        <f t="shared" si="27"/>
        <v>1162908.9612179666</v>
      </c>
      <c r="L43" s="126">
        <v>4.075021479174816E-3</v>
      </c>
      <c r="M43" s="128">
        <f t="shared" si="4"/>
        <v>34755.674819915446</v>
      </c>
      <c r="N43" s="129" t="s">
        <v>391</v>
      </c>
      <c r="O43" s="128" t="str">
        <f t="shared" si="5"/>
        <v>NA</v>
      </c>
      <c r="P43" s="126">
        <v>4.075021479174816E-3</v>
      </c>
      <c r="Q43" s="128">
        <f t="shared" si="6"/>
        <v>144996.59519268101</v>
      </c>
      <c r="R43" s="126">
        <v>4.075021479174816E-3</v>
      </c>
      <c r="S43" s="128">
        <f t="shared" si="7"/>
        <v>165230.73537052597</v>
      </c>
      <c r="T43" s="126">
        <v>4.075021479174816E-3</v>
      </c>
      <c r="U43" s="128">
        <f t="shared" si="8"/>
        <v>160114.545903422</v>
      </c>
      <c r="V43" s="126">
        <v>4.075021479174816E-3</v>
      </c>
      <c r="W43" s="128">
        <f t="shared" si="9"/>
        <v>26239.083679514031</v>
      </c>
      <c r="X43" s="131">
        <v>2.5286162275257032E-3</v>
      </c>
      <c r="Y43" s="128">
        <f t="shared" si="10"/>
        <v>290363.1128013265</v>
      </c>
      <c r="Z43" s="133" t="e">
        <f t="shared" si="11"/>
        <v>#VALUE!</v>
      </c>
      <c r="AA43" s="134">
        <v>4.405208730512835E-3</v>
      </c>
      <c r="AB43" s="135">
        <f t="shared" si="12"/>
        <v>19708902.171240535</v>
      </c>
      <c r="AD43" s="136">
        <v>19548513</v>
      </c>
      <c r="AE43" s="137">
        <f t="shared" si="13"/>
        <v>-8.1379048841480062E-3</v>
      </c>
      <c r="AP43" s="138" t="s">
        <v>433</v>
      </c>
      <c r="AQ43">
        <v>12480350.140000001</v>
      </c>
      <c r="AR43">
        <v>4806493.12</v>
      </c>
      <c r="AS43">
        <v>437450.2</v>
      </c>
      <c r="AT43">
        <v>1162908.9300000002</v>
      </c>
      <c r="AU43">
        <v>34755.730000000003</v>
      </c>
      <c r="AV43"/>
      <c r="AW43">
        <v>144996.59</v>
      </c>
      <c r="AX43">
        <v>165230.74</v>
      </c>
      <c r="AY43">
        <v>160114.54000000004</v>
      </c>
      <c r="AZ43">
        <v>26239.09</v>
      </c>
      <c r="BA43">
        <v>290363.10000000009</v>
      </c>
      <c r="BB43">
        <v>19708902.18</v>
      </c>
      <c r="BD43" s="138" t="s">
        <v>433</v>
      </c>
      <c r="BE43" s="139">
        <f t="shared" si="14"/>
        <v>1.651897095143795E-2</v>
      </c>
      <c r="BF43" s="140">
        <f t="shared" si="15"/>
        <v>1.631053164601326E-2</v>
      </c>
      <c r="BG43" s="140">
        <f t="shared" si="16"/>
        <v>2.0467391004785895E-3</v>
      </c>
      <c r="BH43" s="140">
        <f t="shared" si="17"/>
        <v>3.121796646155417E-2</v>
      </c>
      <c r="BI43" s="140">
        <f t="shared" si="18"/>
        <v>-5.5180084556923248E-2</v>
      </c>
      <c r="BJ43" s="140">
        <f t="shared" si="19"/>
        <v>0</v>
      </c>
      <c r="BK43" s="140">
        <f t="shared" si="20"/>
        <v>5.1926810119766742E-3</v>
      </c>
      <c r="BL43" s="140">
        <f t="shared" si="21"/>
        <v>-4.6294740168377757E-3</v>
      </c>
      <c r="BM43" s="140">
        <f t="shared" si="22"/>
        <v>-5.9034219593741E-3</v>
      </c>
      <c r="BN43" s="140">
        <f t="shared" si="23"/>
        <v>-6.3204859688994475E-3</v>
      </c>
      <c r="BO43" s="140">
        <f t="shared" si="24"/>
        <v>1.2801326403860003E-2</v>
      </c>
      <c r="BP43" s="140">
        <f t="shared" si="25"/>
        <v>-8.7594650685787201E-3</v>
      </c>
    </row>
    <row r="44" spans="1:68" ht="15" x14ac:dyDescent="0.25">
      <c r="A44" s="98">
        <v>38</v>
      </c>
      <c r="B44" s="124">
        <v>1</v>
      </c>
      <c r="C44" s="141" t="s">
        <v>434</v>
      </c>
      <c r="D44" s="126">
        <v>1.2847320545372558E-2</v>
      </c>
      <c r="E44" s="128">
        <f t="shared" si="1"/>
        <v>39346800.94293838</v>
      </c>
      <c r="F44" s="126">
        <v>1.2847320545372558E-2</v>
      </c>
      <c r="G44" s="128">
        <f t="shared" si="2"/>
        <v>15153431.194852399</v>
      </c>
      <c r="H44" s="126">
        <v>1.2847320545372558E-2</v>
      </c>
      <c r="I44" s="128">
        <f t="shared" si="27"/>
        <v>1379149.2872009354</v>
      </c>
      <c r="J44" s="126">
        <v>1.2847320545372558E-2</v>
      </c>
      <c r="K44" s="128">
        <f t="shared" si="27"/>
        <v>3666303.1756286146</v>
      </c>
      <c r="L44" s="126">
        <v>1.2847320545372558E-2</v>
      </c>
      <c r="M44" s="128">
        <f t="shared" si="4"/>
        <v>109574.21880205801</v>
      </c>
      <c r="N44" s="129" t="s">
        <v>391</v>
      </c>
      <c r="O44" s="128" t="str">
        <f t="shared" si="5"/>
        <v>NA</v>
      </c>
      <c r="P44" s="126">
        <v>1.2847320545372558E-2</v>
      </c>
      <c r="Q44" s="128">
        <f t="shared" si="6"/>
        <v>457130.77733401686</v>
      </c>
      <c r="R44" s="126">
        <v>1.2847320545372558E-2</v>
      </c>
      <c r="S44" s="128">
        <f t="shared" si="7"/>
        <v>520922.95270125347</v>
      </c>
      <c r="T44" s="126">
        <v>1.2847320545372558E-2</v>
      </c>
      <c r="U44" s="128">
        <f t="shared" si="8"/>
        <v>504793.14175653824</v>
      </c>
      <c r="V44" s="126">
        <v>1.2847320545372558E-2</v>
      </c>
      <c r="W44" s="128">
        <f t="shared" si="9"/>
        <v>82723.961228256623</v>
      </c>
      <c r="X44" s="131">
        <v>1.6654177721134981E-2</v>
      </c>
      <c r="Y44" s="128">
        <f t="shared" si="10"/>
        <v>1912413.1339563271</v>
      </c>
      <c r="Z44" s="133" t="e">
        <f t="shared" si="11"/>
        <v>#VALUE!</v>
      </c>
      <c r="AA44" s="134">
        <v>1.288785369650575E-2</v>
      </c>
      <c r="AB44" s="135">
        <f t="shared" si="12"/>
        <v>63133242.786398783</v>
      </c>
      <c r="AD44" s="142">
        <v>62627579</v>
      </c>
      <c r="AE44" s="137">
        <f t="shared" si="13"/>
        <v>-8.0094695612201727E-3</v>
      </c>
      <c r="AP44" s="138" t="s">
        <v>182</v>
      </c>
      <c r="AQ44">
        <v>39346800.939999998</v>
      </c>
      <c r="AR44">
        <v>15153431.200000001</v>
      </c>
      <c r="AS44">
        <v>1379149.28</v>
      </c>
      <c r="AT44">
        <v>3666303.1699999995</v>
      </c>
      <c r="AU44">
        <v>109574.19999999998</v>
      </c>
      <c r="AV44"/>
      <c r="AW44">
        <v>457130.76999999996</v>
      </c>
      <c r="AX44">
        <v>520922.95000000007</v>
      </c>
      <c r="AY44">
        <v>504793.12</v>
      </c>
      <c r="AZ44">
        <v>82723.94</v>
      </c>
      <c r="BA44">
        <v>1912413.1500000004</v>
      </c>
      <c r="BB44">
        <v>63133242.719999999</v>
      </c>
      <c r="BD44" s="138" t="s">
        <v>182</v>
      </c>
      <c r="BE44" s="139">
        <f t="shared" si="14"/>
        <v>2.9383823275566101E-3</v>
      </c>
      <c r="BF44" s="140">
        <f t="shared" si="15"/>
        <v>5.1476024091243744E-3</v>
      </c>
      <c r="BG44" s="140">
        <f t="shared" si="16"/>
        <v>7.2009353898465633E-3</v>
      </c>
      <c r="BH44" s="140">
        <f t="shared" si="17"/>
        <v>5.6286151520907879E-3</v>
      </c>
      <c r="BI44" s="140">
        <f t="shared" si="18"/>
        <v>1.8802058024448343E-2</v>
      </c>
      <c r="BJ44" s="140">
        <f t="shared" si="19"/>
        <v>0</v>
      </c>
      <c r="BK44" s="140">
        <f t="shared" si="20"/>
        <v>7.3340169037692249E-3</v>
      </c>
      <c r="BL44" s="140">
        <f t="shared" si="21"/>
        <v>2.7012533973902464E-3</v>
      </c>
      <c r="BM44" s="140">
        <f t="shared" si="22"/>
        <v>-2.1756538248155266E-2</v>
      </c>
      <c r="BN44" s="140">
        <f t="shared" si="23"/>
        <v>2.1228256620815955E-2</v>
      </c>
      <c r="BO44" s="140">
        <f t="shared" si="24"/>
        <v>-1.6043673269450665E-2</v>
      </c>
      <c r="BP44" s="140">
        <f t="shared" si="25"/>
        <v>6.6398784518241882E-2</v>
      </c>
    </row>
    <row r="45" spans="1:68" ht="15" x14ac:dyDescent="0.25">
      <c r="A45" s="98">
        <v>39</v>
      </c>
      <c r="B45" s="124">
        <v>2</v>
      </c>
      <c r="C45" s="143" t="s">
        <v>435</v>
      </c>
      <c r="D45" s="126">
        <v>3.7610490340298395E-3</v>
      </c>
      <c r="E45" s="128">
        <f t="shared" si="1"/>
        <v>11518763.555090496</v>
      </c>
      <c r="F45" s="126">
        <v>3.7610490340298395E-3</v>
      </c>
      <c r="G45" s="128">
        <f t="shared" si="2"/>
        <v>4436162.1986745968</v>
      </c>
      <c r="H45" s="126">
        <v>3.7610490340298395E-3</v>
      </c>
      <c r="I45" s="128">
        <f t="shared" si="27"/>
        <v>403745.51845974824</v>
      </c>
      <c r="J45" s="126">
        <v>3.7610490340298395E-3</v>
      </c>
      <c r="K45" s="128">
        <f t="shared" si="27"/>
        <v>1073309.097290735</v>
      </c>
      <c r="L45" s="126">
        <v>3.7610490340298395E-3</v>
      </c>
      <c r="M45" s="128">
        <f t="shared" si="4"/>
        <v>32077.817964033969</v>
      </c>
      <c r="N45" s="129" t="s">
        <v>391</v>
      </c>
      <c r="O45" s="128" t="str">
        <f t="shared" si="5"/>
        <v>NA</v>
      </c>
      <c r="P45" s="126">
        <v>3.7610490340298395E-3</v>
      </c>
      <c r="Q45" s="128">
        <f t="shared" si="6"/>
        <v>133824.89075799394</v>
      </c>
      <c r="R45" s="126">
        <v>3.7610490340298395E-3</v>
      </c>
      <c r="S45" s="128">
        <f t="shared" si="7"/>
        <v>152500.02995890891</v>
      </c>
      <c r="T45" s="126">
        <v>3.7610490340298395E-3</v>
      </c>
      <c r="U45" s="128">
        <f t="shared" si="8"/>
        <v>147778.03289668445</v>
      </c>
      <c r="V45" s="126">
        <v>3.7610490340298395E-3</v>
      </c>
      <c r="W45" s="128">
        <f t="shared" si="9"/>
        <v>24217.413535363303</v>
      </c>
      <c r="X45" s="131">
        <v>1.9355702872341034E-3</v>
      </c>
      <c r="Y45" s="128">
        <f t="shared" si="10"/>
        <v>222263.15228428194</v>
      </c>
      <c r="Z45" s="133" t="e">
        <f t="shared" si="11"/>
        <v>#VALUE!</v>
      </c>
      <c r="AA45" s="134">
        <v>4.0216355150038607E-3</v>
      </c>
      <c r="AB45" s="135">
        <f t="shared" si="12"/>
        <v>18144641.706912838</v>
      </c>
      <c r="AD45" s="136">
        <v>17996608</v>
      </c>
      <c r="AE45" s="137">
        <f t="shared" si="13"/>
        <v>-8.1585356880560234E-3</v>
      </c>
      <c r="AP45" s="138" t="s">
        <v>183</v>
      </c>
      <c r="AQ45">
        <v>11518763.560000001</v>
      </c>
      <c r="AR45">
        <v>4436162.209999999</v>
      </c>
      <c r="AS45">
        <v>403745.50999999995</v>
      </c>
      <c r="AT45">
        <v>1073309.0799999998</v>
      </c>
      <c r="AU45">
        <v>32077.810000000005</v>
      </c>
      <c r="AV45"/>
      <c r="AW45">
        <v>133824.88999999998</v>
      </c>
      <c r="AX45">
        <v>152500.04</v>
      </c>
      <c r="AY45">
        <v>147778.03</v>
      </c>
      <c r="AZ45">
        <v>24217.43</v>
      </c>
      <c r="BA45">
        <v>222263.15999999997</v>
      </c>
      <c r="BB45">
        <v>18144641.719999999</v>
      </c>
      <c r="BD45" s="138" t="s">
        <v>183</v>
      </c>
      <c r="BE45" s="139">
        <f t="shared" si="14"/>
        <v>-4.9095042049884796E-3</v>
      </c>
      <c r="BF45" s="140">
        <f t="shared" si="15"/>
        <v>1.1325402185320854E-2</v>
      </c>
      <c r="BG45" s="140">
        <f t="shared" si="16"/>
        <v>8.4597482928074896E-3</v>
      </c>
      <c r="BH45" s="140">
        <f t="shared" si="17"/>
        <v>1.7290735151618719E-2</v>
      </c>
      <c r="BI45" s="140">
        <f t="shared" si="18"/>
        <v>7.9640339645266067E-3</v>
      </c>
      <c r="BJ45" s="140">
        <f t="shared" si="19"/>
        <v>0</v>
      </c>
      <c r="BK45" s="140">
        <f t="shared" si="20"/>
        <v>7.5799395563080907E-4</v>
      </c>
      <c r="BL45" s="140">
        <f t="shared" si="21"/>
        <v>-1.0041091096354648E-2</v>
      </c>
      <c r="BM45" s="140">
        <f t="shared" si="22"/>
        <v>-2.8966844547539949E-3</v>
      </c>
      <c r="BN45" s="140">
        <f t="shared" si="23"/>
        <v>-1.6464636697492097E-2</v>
      </c>
      <c r="BO45" s="140">
        <f t="shared" si="24"/>
        <v>-7.7157180348876864E-3</v>
      </c>
      <c r="BP45" s="140">
        <f t="shared" si="25"/>
        <v>-1.3087160885334015E-2</v>
      </c>
    </row>
    <row r="46" spans="1:68" ht="15" x14ac:dyDescent="0.25">
      <c r="A46" s="98">
        <v>40</v>
      </c>
      <c r="B46" s="124">
        <v>3</v>
      </c>
      <c r="C46" s="143" t="s">
        <v>436</v>
      </c>
      <c r="D46" s="126">
        <v>1.0854174179051598E-2</v>
      </c>
      <c r="E46" s="128">
        <f t="shared" si="1"/>
        <v>33242498.255945873</v>
      </c>
      <c r="F46" s="126">
        <v>1.0854174179051598E-2</v>
      </c>
      <c r="G46" s="128">
        <f t="shared" si="2"/>
        <v>12802512.478638573</v>
      </c>
      <c r="H46" s="126">
        <v>1.0854174179051598E-2</v>
      </c>
      <c r="I46" s="128">
        <f t="shared" si="27"/>
        <v>1165186.6651358397</v>
      </c>
      <c r="J46" s="126">
        <v>1.0854174179051598E-2</v>
      </c>
      <c r="K46" s="128">
        <f t="shared" si="27"/>
        <v>3097509.1748463088</v>
      </c>
      <c r="L46" s="126">
        <v>1.0854174179051598E-2</v>
      </c>
      <c r="M46" s="128">
        <f t="shared" si="4"/>
        <v>92574.763135293018</v>
      </c>
      <c r="N46" s="129" t="s">
        <v>391</v>
      </c>
      <c r="O46" s="128" t="str">
        <f t="shared" si="5"/>
        <v>NA</v>
      </c>
      <c r="P46" s="126">
        <v>1.0854174179051598E-2</v>
      </c>
      <c r="Q46" s="128">
        <f t="shared" si="6"/>
        <v>386211.04395000404</v>
      </c>
      <c r="R46" s="126">
        <v>1.0854174179051598E-2</v>
      </c>
      <c r="S46" s="128">
        <f t="shared" si="7"/>
        <v>440106.43639788602</v>
      </c>
      <c r="T46" s="126">
        <v>1.0854174179051598E-2</v>
      </c>
      <c r="U46" s="128">
        <f t="shared" si="8"/>
        <v>426479.02071608673</v>
      </c>
      <c r="V46" s="126">
        <v>1.0854174179051598E-2</v>
      </c>
      <c r="W46" s="128">
        <f t="shared" si="9"/>
        <v>69890.081809784126</v>
      </c>
      <c r="X46" s="131">
        <v>1.3248468455626616E-2</v>
      </c>
      <c r="Y46" s="128">
        <f t="shared" si="10"/>
        <v>1521332.6952307648</v>
      </c>
      <c r="Z46" s="133" t="e">
        <f t="shared" si="11"/>
        <v>#VALUE!</v>
      </c>
      <c r="AA46" s="134">
        <v>1.1321298772933419E-2</v>
      </c>
      <c r="AB46" s="135">
        <f t="shared" si="12"/>
        <v>53244300.615806408</v>
      </c>
      <c r="AD46" s="142">
        <v>52817086</v>
      </c>
      <c r="AE46" s="137">
        <f t="shared" si="13"/>
        <v>-8.0236684652701395E-3</v>
      </c>
      <c r="AP46" s="138" t="s">
        <v>184</v>
      </c>
      <c r="AQ46">
        <v>33242498.249999996</v>
      </c>
      <c r="AR46">
        <v>12802512.489999998</v>
      </c>
      <c r="AS46">
        <v>1165186.67</v>
      </c>
      <c r="AT46">
        <v>3097509.21</v>
      </c>
      <c r="AU46">
        <v>92574.749999999985</v>
      </c>
      <c r="AV46"/>
      <c r="AW46">
        <v>386211.02999999991</v>
      </c>
      <c r="AX46">
        <v>440106.46000000008</v>
      </c>
      <c r="AY46">
        <v>426478.99999999994</v>
      </c>
      <c r="AZ46">
        <v>69890.080000000002</v>
      </c>
      <c r="BA46">
        <v>1521332.71</v>
      </c>
      <c r="BB46">
        <v>53244300.649999991</v>
      </c>
      <c r="BD46" s="138" t="s">
        <v>184</v>
      </c>
      <c r="BE46" s="139">
        <f t="shared" si="14"/>
        <v>5.9458762407302856E-3</v>
      </c>
      <c r="BF46" s="140">
        <f t="shared" si="15"/>
        <v>1.1361425742506981E-2</v>
      </c>
      <c r="BG46" s="140">
        <f t="shared" si="16"/>
        <v>-4.8641602043062449E-3</v>
      </c>
      <c r="BH46" s="140">
        <f t="shared" si="17"/>
        <v>-3.5153691191226244E-2</v>
      </c>
      <c r="BI46" s="140">
        <f t="shared" si="18"/>
        <v>1.3135293032974005E-2</v>
      </c>
      <c r="BJ46" s="140">
        <f t="shared" si="19"/>
        <v>0</v>
      </c>
      <c r="BK46" s="140">
        <f t="shared" si="20"/>
        <v>1.395000412594527E-2</v>
      </c>
      <c r="BL46" s="140">
        <f t="shared" si="21"/>
        <v>-2.360211405903101E-2</v>
      </c>
      <c r="BM46" s="140">
        <f t="shared" si="22"/>
        <v>-2.0716086786706001E-2</v>
      </c>
      <c r="BN46" s="140">
        <f t="shared" si="23"/>
        <v>1.8097841239068657E-3</v>
      </c>
      <c r="BO46" s="140">
        <f t="shared" si="24"/>
        <v>-1.4769235160201788E-2</v>
      </c>
      <c r="BP46" s="140">
        <f t="shared" si="25"/>
        <v>-3.4193582832813263E-2</v>
      </c>
    </row>
    <row r="47" spans="1:68" ht="15" x14ac:dyDescent="0.25">
      <c r="A47" s="98">
        <v>41</v>
      </c>
      <c r="B47" s="124">
        <v>2</v>
      </c>
      <c r="C47" s="143" t="s">
        <v>437</v>
      </c>
      <c r="D47" s="126">
        <v>4.3408977703107456E-2</v>
      </c>
      <c r="E47" s="128">
        <f t="shared" si="1"/>
        <v>132946352.41554871</v>
      </c>
      <c r="F47" s="126">
        <v>4.3408977703107456E-2</v>
      </c>
      <c r="G47" s="128">
        <f t="shared" si="2"/>
        <v>51200945.328623414</v>
      </c>
      <c r="H47" s="126">
        <v>4.3408977703107456E-2</v>
      </c>
      <c r="I47" s="128">
        <f t="shared" si="27"/>
        <v>4659918.0308399359</v>
      </c>
      <c r="J47" s="126">
        <v>4.3408977703107456E-2</v>
      </c>
      <c r="K47" s="128">
        <f t="shared" si="27"/>
        <v>12387833.886577895</v>
      </c>
      <c r="L47" s="126">
        <v>4.3408977703107456E-2</v>
      </c>
      <c r="M47" s="128">
        <f t="shared" si="4"/>
        <v>370233.21742580686</v>
      </c>
      <c r="N47" s="129">
        <v>7.9999999838836808E-2</v>
      </c>
      <c r="O47" s="128">
        <f t="shared" si="5"/>
        <v>19855651</v>
      </c>
      <c r="P47" s="126">
        <v>4.3408977703107456E-2</v>
      </c>
      <c r="Q47" s="128">
        <f t="shared" si="6"/>
        <v>1544569.5194274515</v>
      </c>
      <c r="R47" s="126">
        <v>4.3408977703107456E-2</v>
      </c>
      <c r="S47" s="128">
        <f t="shared" si="7"/>
        <v>1760112.7611773049</v>
      </c>
      <c r="T47" s="126">
        <v>4.3408977703107456E-2</v>
      </c>
      <c r="U47" s="128">
        <f t="shared" si="8"/>
        <v>1705612.7896710534</v>
      </c>
      <c r="V47" s="126">
        <v>4.3408977703107456E-2</v>
      </c>
      <c r="W47" s="128">
        <f t="shared" si="9"/>
        <v>279510.6244751974</v>
      </c>
      <c r="X47" s="131">
        <v>5.7533038309649259E-2</v>
      </c>
      <c r="Y47" s="128">
        <f t="shared" si="10"/>
        <v>6606566.8291840134</v>
      </c>
      <c r="Z47" s="133">
        <f t="shared" si="11"/>
        <v>231493226.25904816</v>
      </c>
      <c r="AA47" s="134">
        <v>2.8597652309141519E-2</v>
      </c>
      <c r="AB47" s="135">
        <f t="shared" si="12"/>
        <v>233317306.40295082</v>
      </c>
      <c r="AD47" s="136">
        <v>231608751</v>
      </c>
      <c r="AE47" s="137">
        <f t="shared" si="13"/>
        <v>-7.3228832841060187E-3</v>
      </c>
      <c r="AP47" s="138" t="s">
        <v>185</v>
      </c>
      <c r="AQ47">
        <v>132946352.41000003</v>
      </c>
      <c r="AR47">
        <v>51200945.329999998</v>
      </c>
      <c r="AS47">
        <v>4659918.0199999996</v>
      </c>
      <c r="AT47">
        <v>12387833.920000002</v>
      </c>
      <c r="AU47">
        <v>370233.25000000006</v>
      </c>
      <c r="AV47">
        <v>19855651.039999999</v>
      </c>
      <c r="AW47">
        <v>1544569.5000000002</v>
      </c>
      <c r="AX47">
        <v>1760112.77</v>
      </c>
      <c r="AY47">
        <v>1705612.8</v>
      </c>
      <c r="AZ47">
        <v>279510.62</v>
      </c>
      <c r="BA47">
        <v>6606566.8099999987</v>
      </c>
      <c r="BB47">
        <v>233317306.47000006</v>
      </c>
      <c r="BD47" s="138" t="s">
        <v>185</v>
      </c>
      <c r="BE47" s="139">
        <f t="shared" si="14"/>
        <v>5.5486857891082764E-3</v>
      </c>
      <c r="BF47" s="140">
        <f t="shared" si="15"/>
        <v>1.3765841722488403E-3</v>
      </c>
      <c r="BG47" s="140">
        <f t="shared" si="16"/>
        <v>1.0839936323463917E-2</v>
      </c>
      <c r="BH47" s="140">
        <f t="shared" si="17"/>
        <v>-3.3422106876969337E-2</v>
      </c>
      <c r="BI47" s="140">
        <f t="shared" si="18"/>
        <v>-3.2574193202890456E-2</v>
      </c>
      <c r="BJ47" s="140">
        <f t="shared" si="19"/>
        <v>-3.9999999105930328E-2</v>
      </c>
      <c r="BK47" s="140">
        <f t="shared" si="20"/>
        <v>1.9427451305091381E-2</v>
      </c>
      <c r="BL47" s="140">
        <f t="shared" si="21"/>
        <v>-8.8226951193064451E-3</v>
      </c>
      <c r="BM47" s="140">
        <f t="shared" si="22"/>
        <v>1.0328946635127068E-2</v>
      </c>
      <c r="BN47" s="140">
        <f t="shared" si="23"/>
        <v>4.4751974055543542E-3</v>
      </c>
      <c r="BO47" s="140">
        <f t="shared" si="24"/>
        <v>1.918401475995779E-2</v>
      </c>
      <c r="BP47" s="140">
        <f t="shared" si="25"/>
        <v>-6.7049235105514526E-2</v>
      </c>
    </row>
    <row r="48" spans="1:68" ht="15" x14ac:dyDescent="0.25">
      <c r="A48" s="98">
        <v>42</v>
      </c>
      <c r="B48" s="124">
        <v>3</v>
      </c>
      <c r="C48" s="141" t="s">
        <v>438</v>
      </c>
      <c r="D48" s="126">
        <v>4.1760845293070791E-3</v>
      </c>
      <c r="E48" s="128">
        <f t="shared" si="1"/>
        <v>12789870.550456107</v>
      </c>
      <c r="F48" s="126">
        <v>4.1760845293070791E-3</v>
      </c>
      <c r="G48" s="128">
        <f t="shared" si="2"/>
        <v>4925697.101994996</v>
      </c>
      <c r="H48" s="126">
        <v>4.1760845293070791E-3</v>
      </c>
      <c r="I48" s="128">
        <f t="shared" si="27"/>
        <v>448299.23730354733</v>
      </c>
      <c r="J48" s="126">
        <v>4.1760845293070791E-3</v>
      </c>
      <c r="K48" s="128">
        <f t="shared" si="27"/>
        <v>1191749.8218729217</v>
      </c>
      <c r="L48" s="126">
        <v>4.1760845293070791E-3</v>
      </c>
      <c r="M48" s="128">
        <f t="shared" si="4"/>
        <v>35617.637026656259</v>
      </c>
      <c r="N48" s="129" t="s">
        <v>391</v>
      </c>
      <c r="O48" s="128" t="str">
        <f t="shared" si="5"/>
        <v>NA</v>
      </c>
      <c r="P48" s="126">
        <v>4.1760845293070791E-3</v>
      </c>
      <c r="Q48" s="128">
        <f t="shared" si="6"/>
        <v>148592.60032881412</v>
      </c>
      <c r="R48" s="126">
        <v>4.1760845293070791E-3</v>
      </c>
      <c r="S48" s="128">
        <f t="shared" si="7"/>
        <v>169328.55968322718</v>
      </c>
      <c r="T48" s="126">
        <v>4.1760845293070791E-3</v>
      </c>
      <c r="U48" s="128">
        <f t="shared" si="8"/>
        <v>164085.48555668214</v>
      </c>
      <c r="V48" s="126">
        <v>4.1760845293070791E-3</v>
      </c>
      <c r="W48" s="128">
        <f t="shared" si="9"/>
        <v>26889.829164630926</v>
      </c>
      <c r="X48" s="131">
        <v>2.8374609254732844E-3</v>
      </c>
      <c r="Y48" s="128">
        <f t="shared" si="10"/>
        <v>325828.00735197001</v>
      </c>
      <c r="Z48" s="133" t="e">
        <f t="shared" si="11"/>
        <v>#VALUE!</v>
      </c>
      <c r="AA48" s="134">
        <v>4.6017357470302779E-3</v>
      </c>
      <c r="AB48" s="135">
        <f t="shared" si="12"/>
        <v>20225958.83073955</v>
      </c>
      <c r="AD48" s="142">
        <v>20061591</v>
      </c>
      <c r="AE48" s="137">
        <f t="shared" si="13"/>
        <v>-8.1265779345769396E-3</v>
      </c>
      <c r="AP48" s="138" t="s">
        <v>186</v>
      </c>
      <c r="AQ48">
        <v>12789870.530000001</v>
      </c>
      <c r="AR48">
        <v>4925697.0900000008</v>
      </c>
      <c r="AS48">
        <v>448299.22</v>
      </c>
      <c r="AT48">
        <v>1191749.7999999998</v>
      </c>
      <c r="AU48">
        <v>35617.689999999995</v>
      </c>
      <c r="AV48"/>
      <c r="AW48">
        <v>148592.6</v>
      </c>
      <c r="AX48">
        <v>169328.56000000003</v>
      </c>
      <c r="AY48">
        <v>164085.48000000001</v>
      </c>
      <c r="AZ48">
        <v>26889.850000000002</v>
      </c>
      <c r="BA48">
        <v>325828.02</v>
      </c>
      <c r="BB48">
        <v>20225958.84</v>
      </c>
      <c r="BD48" s="138" t="s">
        <v>186</v>
      </c>
      <c r="BE48" s="139">
        <f t="shared" si="14"/>
        <v>2.0456105470657349E-2</v>
      </c>
      <c r="BF48" s="140">
        <f t="shared" si="15"/>
        <v>-1.1994995176792145E-2</v>
      </c>
      <c r="BG48" s="140">
        <f t="shared" si="16"/>
        <v>1.7303547356277704E-2</v>
      </c>
      <c r="BH48" s="140">
        <f t="shared" si="17"/>
        <v>2.1872921846807003E-2</v>
      </c>
      <c r="BI48" s="140">
        <f t="shared" si="18"/>
        <v>-5.2973343736084644E-2</v>
      </c>
      <c r="BJ48" s="140">
        <f t="shared" si="19"/>
        <v>0</v>
      </c>
      <c r="BK48" s="140">
        <f t="shared" si="20"/>
        <v>3.2881411607377231E-4</v>
      </c>
      <c r="BL48" s="140">
        <f t="shared" si="21"/>
        <v>-3.1677284277975559E-4</v>
      </c>
      <c r="BM48" s="140">
        <f t="shared" si="22"/>
        <v>-5.5566821247339249E-3</v>
      </c>
      <c r="BN48" s="140">
        <f t="shared" si="23"/>
        <v>-2.0835369075939525E-2</v>
      </c>
      <c r="BO48" s="140">
        <f t="shared" si="24"/>
        <v>-1.2648030009586364E-2</v>
      </c>
      <c r="BP48" s="140">
        <f t="shared" si="25"/>
        <v>-9.2604495584964752E-3</v>
      </c>
    </row>
    <row r="49" spans="1:68" ht="15" x14ac:dyDescent="0.25">
      <c r="A49" s="98">
        <v>43</v>
      </c>
      <c r="B49" s="124">
        <v>6</v>
      </c>
      <c r="C49" s="141" t="s">
        <v>439</v>
      </c>
      <c r="D49" s="126">
        <v>3.5492721800578384E-3</v>
      </c>
      <c r="E49" s="128">
        <f t="shared" si="1"/>
        <v>10870165.920421887</v>
      </c>
      <c r="F49" s="126">
        <v>3.5492721800578384E-3</v>
      </c>
      <c r="G49" s="128">
        <f t="shared" si="2"/>
        <v>4186371.1255871491</v>
      </c>
      <c r="H49" s="126">
        <v>3.5492721800578384E-3</v>
      </c>
      <c r="I49" s="128">
        <f t="shared" si="27"/>
        <v>381011.44747820479</v>
      </c>
      <c r="J49" s="126">
        <v>3.5492721800578384E-3</v>
      </c>
      <c r="K49" s="128">
        <f t="shared" si="27"/>
        <v>1012873.2928364087</v>
      </c>
      <c r="L49" s="126">
        <v>3.5492721800578384E-3</v>
      </c>
      <c r="M49" s="128">
        <f t="shared" si="4"/>
        <v>30271.5827064652</v>
      </c>
      <c r="N49" s="129" t="s">
        <v>391</v>
      </c>
      <c r="O49" s="128" t="str">
        <f t="shared" si="5"/>
        <v>NA</v>
      </c>
      <c r="P49" s="126">
        <v>3.5492721800578384E-3</v>
      </c>
      <c r="Q49" s="128">
        <f t="shared" si="6"/>
        <v>126289.48930710985</v>
      </c>
      <c r="R49" s="126">
        <v>3.5492721800578384E-3</v>
      </c>
      <c r="S49" s="128">
        <f t="shared" si="7"/>
        <v>143913.07023487426</v>
      </c>
      <c r="T49" s="126">
        <v>3.5492721800578384E-3</v>
      </c>
      <c r="U49" s="128">
        <f t="shared" si="8"/>
        <v>139456.95901281165</v>
      </c>
      <c r="V49" s="126">
        <v>3.5492721800578384E-3</v>
      </c>
      <c r="W49" s="128">
        <f t="shared" si="9"/>
        <v>22853.781313753319</v>
      </c>
      <c r="X49" s="131">
        <v>1.7782878416254008E-3</v>
      </c>
      <c r="Y49" s="128">
        <f t="shared" si="10"/>
        <v>204202.27772419254</v>
      </c>
      <c r="Z49" s="133" t="e">
        <f t="shared" si="11"/>
        <v>#VALUE!</v>
      </c>
      <c r="AA49" s="134">
        <v>3.7675577860171554E-3</v>
      </c>
      <c r="AB49" s="135">
        <f t="shared" si="12"/>
        <v>17117408.946622856</v>
      </c>
      <c r="AD49" s="136">
        <v>16977710</v>
      </c>
      <c r="AE49" s="137">
        <f t="shared" si="13"/>
        <v>-8.1612203726906252E-3</v>
      </c>
      <c r="AP49" s="138" t="s">
        <v>440</v>
      </c>
      <c r="AQ49">
        <v>10870165.909999998</v>
      </c>
      <c r="AR49">
        <v>4186371.12</v>
      </c>
      <c r="AS49">
        <v>381011.45</v>
      </c>
      <c r="AT49">
        <v>1012873.2499999999</v>
      </c>
      <c r="AU49">
        <v>30271.570000000007</v>
      </c>
      <c r="AV49"/>
      <c r="AW49">
        <v>126289.5</v>
      </c>
      <c r="AX49">
        <v>143913.04999999999</v>
      </c>
      <c r="AY49">
        <v>139456.97</v>
      </c>
      <c r="AZ49">
        <v>22853.78</v>
      </c>
      <c r="BA49">
        <v>204202.25999999998</v>
      </c>
      <c r="BB49">
        <v>17117408.859999999</v>
      </c>
      <c r="BD49" s="138" t="s">
        <v>440</v>
      </c>
      <c r="BE49" s="139">
        <f t="shared" si="14"/>
        <v>1.0421888902783394E-2</v>
      </c>
      <c r="BF49" s="140">
        <f t="shared" si="15"/>
        <v>-5.5871489457786083E-3</v>
      </c>
      <c r="BG49" s="140">
        <f t="shared" si="16"/>
        <v>-2.5217952206730843E-3</v>
      </c>
      <c r="BH49" s="140">
        <f t="shared" si="17"/>
        <v>4.2836408829316497E-2</v>
      </c>
      <c r="BI49" s="140">
        <f t="shared" si="18"/>
        <v>1.2706465193332406E-2</v>
      </c>
      <c r="BJ49" s="140">
        <f t="shared" si="19"/>
        <v>0</v>
      </c>
      <c r="BK49" s="140">
        <f t="shared" si="20"/>
        <v>-1.0692890151403844E-2</v>
      </c>
      <c r="BL49" s="140">
        <f t="shared" si="21"/>
        <v>2.0234874275047332E-2</v>
      </c>
      <c r="BM49" s="140">
        <f t="shared" si="22"/>
        <v>1.098718834691681E-2</v>
      </c>
      <c r="BN49" s="140">
        <f t="shared" si="23"/>
        <v>1.3137533205735963E-3</v>
      </c>
      <c r="BO49" s="140">
        <f t="shared" si="24"/>
        <v>1.7724192555760965E-2</v>
      </c>
      <c r="BP49" s="140">
        <f t="shared" si="25"/>
        <v>8.6622856557369232E-2</v>
      </c>
    </row>
    <row r="50" spans="1:68" ht="15" x14ac:dyDescent="0.25">
      <c r="A50" s="98">
        <v>44</v>
      </c>
      <c r="B50" s="124">
        <v>1</v>
      </c>
      <c r="C50" s="141" t="s">
        <v>441</v>
      </c>
      <c r="D50" s="126">
        <v>4.745376717234206E-3</v>
      </c>
      <c r="E50" s="128">
        <f t="shared" si="1"/>
        <v>14533411.261348283</v>
      </c>
      <c r="F50" s="126">
        <v>4.745376717234206E-3</v>
      </c>
      <c r="G50" s="128">
        <f t="shared" si="2"/>
        <v>5597177.9737498416</v>
      </c>
      <c r="H50" s="126">
        <v>4.745376717234206E-3</v>
      </c>
      <c r="I50" s="128">
        <f t="shared" si="27"/>
        <v>509412.28515005374</v>
      </c>
      <c r="J50" s="126">
        <v>4.745376717234206E-3</v>
      </c>
      <c r="K50" s="128">
        <f t="shared" si="27"/>
        <v>1354211.5390135879</v>
      </c>
      <c r="L50" s="126">
        <v>4.745376717234206E-3</v>
      </c>
      <c r="M50" s="128">
        <f t="shared" si="4"/>
        <v>40473.104479338268</v>
      </c>
      <c r="N50" s="129" t="s">
        <v>391</v>
      </c>
      <c r="O50" s="128" t="str">
        <f t="shared" si="5"/>
        <v>NA</v>
      </c>
      <c r="P50" s="126">
        <v>4.745376717234206E-3</v>
      </c>
      <c r="Q50" s="128">
        <f t="shared" si="6"/>
        <v>168849.04053190738</v>
      </c>
      <c r="R50" s="126">
        <v>4.745376717234206E-3</v>
      </c>
      <c r="S50" s="128">
        <f t="shared" si="7"/>
        <v>192411.76730129911</v>
      </c>
      <c r="T50" s="126">
        <v>4.745376717234206E-3</v>
      </c>
      <c r="U50" s="128">
        <f t="shared" si="8"/>
        <v>186453.94683281155</v>
      </c>
      <c r="V50" s="126">
        <v>4.745376717234206E-3</v>
      </c>
      <c r="W50" s="128">
        <f t="shared" si="9"/>
        <v>30555.504409154633</v>
      </c>
      <c r="X50" s="131">
        <v>3.6618458543408909E-3</v>
      </c>
      <c r="Y50" s="128">
        <f t="shared" si="10"/>
        <v>420492.81709525286</v>
      </c>
      <c r="Z50" s="133" t="e">
        <f t="shared" si="11"/>
        <v>#VALUE!</v>
      </c>
      <c r="AA50" s="134">
        <v>4.9395991504274372E-3</v>
      </c>
      <c r="AB50" s="135">
        <f t="shared" si="12"/>
        <v>23033449.23991153</v>
      </c>
      <c r="AD50" s="142">
        <v>22846674</v>
      </c>
      <c r="AE50" s="137">
        <f t="shared" si="13"/>
        <v>-8.108869755724335E-3</v>
      </c>
      <c r="AP50" s="138" t="s">
        <v>187</v>
      </c>
      <c r="AQ50">
        <v>14533411.25</v>
      </c>
      <c r="AR50">
        <v>5597177.9699999997</v>
      </c>
      <c r="AS50">
        <v>509412.30000000005</v>
      </c>
      <c r="AT50">
        <v>1354211.5499999998</v>
      </c>
      <c r="AU50">
        <v>40473.130000000012</v>
      </c>
      <c r="AV50"/>
      <c r="AW50">
        <v>168849.03999999998</v>
      </c>
      <c r="AX50">
        <v>192411.77</v>
      </c>
      <c r="AY50">
        <v>186453.91999999998</v>
      </c>
      <c r="AZ50">
        <v>30555.480000000003</v>
      </c>
      <c r="BA50">
        <v>420492.82</v>
      </c>
      <c r="BB50">
        <v>23033449.23</v>
      </c>
      <c r="BD50" s="138" t="s">
        <v>187</v>
      </c>
      <c r="BE50" s="139">
        <f t="shared" si="14"/>
        <v>1.1348282918334007E-2</v>
      </c>
      <c r="BF50" s="140">
        <f t="shared" si="15"/>
        <v>-3.7498418241739273E-3</v>
      </c>
      <c r="BG50" s="140">
        <f t="shared" si="16"/>
        <v>-1.4849946310278028E-2</v>
      </c>
      <c r="BH50" s="140">
        <f t="shared" si="17"/>
        <v>-1.0986411944031715E-2</v>
      </c>
      <c r="BI50" s="140">
        <f t="shared" si="18"/>
        <v>-2.5520661743939854E-2</v>
      </c>
      <c r="BJ50" s="140">
        <f t="shared" si="19"/>
        <v>0</v>
      </c>
      <c r="BK50" s="140">
        <f t="shared" si="20"/>
        <v>5.3190739708952606E-4</v>
      </c>
      <c r="BL50" s="140">
        <f t="shared" si="21"/>
        <v>-2.698700875043869E-3</v>
      </c>
      <c r="BM50" s="140">
        <f t="shared" si="22"/>
        <v>-2.6832811563508585E-2</v>
      </c>
      <c r="BN50" s="140">
        <f t="shared" si="23"/>
        <v>2.4409154630120611E-2</v>
      </c>
      <c r="BO50" s="140">
        <f t="shared" si="24"/>
        <v>-2.9047471471130848E-3</v>
      </c>
      <c r="BP50" s="140">
        <f t="shared" si="25"/>
        <v>9.9115297198295593E-3</v>
      </c>
    </row>
    <row r="51" spans="1:68" ht="15" x14ac:dyDescent="0.25">
      <c r="A51" s="98">
        <v>45</v>
      </c>
      <c r="B51" s="124">
        <v>1</v>
      </c>
      <c r="C51" s="141" t="s">
        <v>442</v>
      </c>
      <c r="D51" s="126">
        <v>3.3241771292421905E-3</v>
      </c>
      <c r="E51" s="128">
        <f t="shared" si="1"/>
        <v>10180779.357176682</v>
      </c>
      <c r="F51" s="126">
        <v>3.3241771292421905E-3</v>
      </c>
      <c r="G51" s="128">
        <f t="shared" si="2"/>
        <v>3920871.2221021918</v>
      </c>
      <c r="H51" s="126">
        <v>3.3241771292421905E-3</v>
      </c>
      <c r="I51" s="128">
        <f t="shared" si="27"/>
        <v>356847.6790263718</v>
      </c>
      <c r="J51" s="126">
        <v>3.3241771292421905E-3</v>
      </c>
      <c r="K51" s="128">
        <f t="shared" si="27"/>
        <v>948636.80891673686</v>
      </c>
      <c r="L51" s="126">
        <v>3.3241771292421905E-3</v>
      </c>
      <c r="M51" s="128">
        <f t="shared" si="4"/>
        <v>28351.757147335826</v>
      </c>
      <c r="N51" s="129" t="s">
        <v>391</v>
      </c>
      <c r="O51" s="128" t="str">
        <f t="shared" si="5"/>
        <v>NA</v>
      </c>
      <c r="P51" s="126">
        <v>3.3241771292421905E-3</v>
      </c>
      <c r="Q51" s="128">
        <f t="shared" si="6"/>
        <v>118280.20245309267</v>
      </c>
      <c r="R51" s="126">
        <v>3.3241771292421905E-3</v>
      </c>
      <c r="S51" s="128">
        <f t="shared" si="7"/>
        <v>134786.09483987172</v>
      </c>
      <c r="T51" s="126">
        <v>3.3241771292421905E-3</v>
      </c>
      <c r="U51" s="128">
        <f t="shared" si="8"/>
        <v>130612.59045410815</v>
      </c>
      <c r="V51" s="126">
        <v>3.3241771292421905E-3</v>
      </c>
      <c r="W51" s="128">
        <f t="shared" si="9"/>
        <v>21404.393156076108</v>
      </c>
      <c r="X51" s="131">
        <v>1.2596689061327819E-3</v>
      </c>
      <c r="Y51" s="128">
        <f t="shared" si="10"/>
        <v>144648.83231476397</v>
      </c>
      <c r="Z51" s="133" t="e">
        <f t="shared" si="11"/>
        <v>#VALUE!</v>
      </c>
      <c r="AA51" s="134">
        <v>3.5759893349876608E-3</v>
      </c>
      <c r="AB51" s="135">
        <f t="shared" si="12"/>
        <v>15985218.93758723</v>
      </c>
      <c r="AD51" s="136">
        <v>15854380</v>
      </c>
      <c r="AE51" s="137">
        <f t="shared" si="13"/>
        <v>-8.1849950318527709E-3</v>
      </c>
      <c r="AP51" s="138" t="s">
        <v>188</v>
      </c>
      <c r="AQ51">
        <v>10180779.359999999</v>
      </c>
      <c r="AR51">
        <v>3920871.2199999997</v>
      </c>
      <c r="AS51">
        <v>356847.66</v>
      </c>
      <c r="AT51">
        <v>948636.81000000017</v>
      </c>
      <c r="AU51">
        <v>28351.810000000005</v>
      </c>
      <c r="AV51"/>
      <c r="AW51">
        <v>118280.22</v>
      </c>
      <c r="AX51">
        <v>134786.08000000002</v>
      </c>
      <c r="AY51">
        <v>130612.6</v>
      </c>
      <c r="AZ51">
        <v>21404.400000000001</v>
      </c>
      <c r="BA51">
        <v>144648.84000000003</v>
      </c>
      <c r="BB51">
        <v>15985218.999999998</v>
      </c>
      <c r="BD51" s="138" t="s">
        <v>188</v>
      </c>
      <c r="BE51" s="139">
        <f t="shared" si="14"/>
        <v>-2.8233174234628677E-3</v>
      </c>
      <c r="BF51" s="140">
        <f t="shared" si="15"/>
        <v>-2.1021920256316662E-3</v>
      </c>
      <c r="BG51" s="140">
        <f t="shared" si="16"/>
        <v>1.902637182502076E-2</v>
      </c>
      <c r="BH51" s="140">
        <f t="shared" si="17"/>
        <v>-1.0832633124664426E-3</v>
      </c>
      <c r="BI51" s="140">
        <f t="shared" si="18"/>
        <v>-5.2852664179226849E-2</v>
      </c>
      <c r="BJ51" s="140">
        <f t="shared" si="19"/>
        <v>0</v>
      </c>
      <c r="BK51" s="140">
        <f t="shared" si="20"/>
        <v>-1.7546907329233363E-2</v>
      </c>
      <c r="BL51" s="140">
        <f t="shared" si="21"/>
        <v>1.4839871699223295E-2</v>
      </c>
      <c r="BM51" s="140">
        <f t="shared" si="22"/>
        <v>9.5458918513031676E-3</v>
      </c>
      <c r="BN51" s="140">
        <f t="shared" si="23"/>
        <v>-6.8439238930295687E-3</v>
      </c>
      <c r="BO51" s="140">
        <f t="shared" si="24"/>
        <v>-7.685236050747335E-3</v>
      </c>
      <c r="BP51" s="140">
        <f t="shared" si="25"/>
        <v>-6.2412768602371216E-2</v>
      </c>
    </row>
    <row r="52" spans="1:68" ht="15" x14ac:dyDescent="0.25">
      <c r="A52" s="98">
        <v>46</v>
      </c>
      <c r="B52" s="124">
        <v>7</v>
      </c>
      <c r="C52" s="141" t="s">
        <v>443</v>
      </c>
      <c r="D52" s="126">
        <v>3.5173522245748644E-3</v>
      </c>
      <c r="E52" s="128">
        <f t="shared" si="1"/>
        <v>10772406.381375561</v>
      </c>
      <c r="F52" s="126">
        <v>3.5173522245748644E-3</v>
      </c>
      <c r="G52" s="128">
        <f t="shared" si="2"/>
        <v>4148721.4968224792</v>
      </c>
      <c r="H52" s="126">
        <v>3.5173522245748644E-3</v>
      </c>
      <c r="I52" s="128">
        <f t="shared" si="27"/>
        <v>377584.86652723089</v>
      </c>
      <c r="J52" s="126">
        <v>3.5173522245748644E-3</v>
      </c>
      <c r="K52" s="128">
        <f t="shared" si="27"/>
        <v>1003764.1378386917</v>
      </c>
      <c r="L52" s="126">
        <v>3.5173522245748644E-3</v>
      </c>
      <c r="M52" s="128">
        <f t="shared" si="4"/>
        <v>29999.338842548914</v>
      </c>
      <c r="N52" s="129" t="s">
        <v>391</v>
      </c>
      <c r="O52" s="128" t="str">
        <f t="shared" si="5"/>
        <v>NA</v>
      </c>
      <c r="P52" s="126">
        <v>3.5173522245748644E-3</v>
      </c>
      <c r="Q52" s="128">
        <f t="shared" si="6"/>
        <v>125153.71986702571</v>
      </c>
      <c r="R52" s="126">
        <v>3.5173522245748644E-3</v>
      </c>
      <c r="S52" s="128">
        <f t="shared" si="7"/>
        <v>142618.8052243953</v>
      </c>
      <c r="T52" s="126">
        <v>3.5173522245748644E-3</v>
      </c>
      <c r="U52" s="128">
        <f t="shared" si="8"/>
        <v>138202.76950644155</v>
      </c>
      <c r="V52" s="126">
        <v>3.5173522245748644E-3</v>
      </c>
      <c r="W52" s="128">
        <f t="shared" si="9"/>
        <v>22648.248560798671</v>
      </c>
      <c r="X52" s="131">
        <v>1.7261996396043928E-3</v>
      </c>
      <c r="Y52" s="128">
        <f t="shared" si="10"/>
        <v>198220.9459924715</v>
      </c>
      <c r="Z52" s="133" t="e">
        <f t="shared" si="11"/>
        <v>#VALUE!</v>
      </c>
      <c r="AA52" s="134">
        <v>3.7438790956832893E-3</v>
      </c>
      <c r="AB52" s="135">
        <f t="shared" si="12"/>
        <v>16959320.710557643</v>
      </c>
      <c r="AD52" s="142">
        <v>16820879</v>
      </c>
      <c r="AE52" s="137">
        <f t="shared" si="13"/>
        <v>-8.1631636620598247E-3</v>
      </c>
      <c r="AP52" s="138" t="s">
        <v>444</v>
      </c>
      <c r="AQ52">
        <v>10772406.379999999</v>
      </c>
      <c r="AR52">
        <v>4148721.49</v>
      </c>
      <c r="AS52">
        <v>377584.86</v>
      </c>
      <c r="AT52">
        <v>1003764.16</v>
      </c>
      <c r="AU52">
        <v>29999.289999999994</v>
      </c>
      <c r="AV52"/>
      <c r="AW52">
        <v>125153.70000000001</v>
      </c>
      <c r="AX52">
        <v>142618.82999999999</v>
      </c>
      <c r="AY52">
        <v>138202.76999999999</v>
      </c>
      <c r="AZ52">
        <v>22648.249999999996</v>
      </c>
      <c r="BA52">
        <v>198220.96</v>
      </c>
      <c r="BB52">
        <v>16959320.689999998</v>
      </c>
      <c r="BD52" s="138" t="s">
        <v>444</v>
      </c>
      <c r="BE52" s="139">
        <f t="shared" si="14"/>
        <v>1.3755615800619125E-3</v>
      </c>
      <c r="BF52" s="140">
        <f t="shared" si="15"/>
        <v>-6.8224789574742317E-3</v>
      </c>
      <c r="BG52" s="140">
        <f t="shared" si="16"/>
        <v>6.52723090024665E-3</v>
      </c>
      <c r="BH52" s="140">
        <f t="shared" si="17"/>
        <v>-2.2161308326758444E-2</v>
      </c>
      <c r="BI52" s="140">
        <f t="shared" si="18"/>
        <v>4.8842548920219997E-2</v>
      </c>
      <c r="BJ52" s="140">
        <f t="shared" si="19"/>
        <v>0</v>
      </c>
      <c r="BK52" s="140">
        <f t="shared" si="20"/>
        <v>1.9867025694111362E-2</v>
      </c>
      <c r="BL52" s="140">
        <f t="shared" si="21"/>
        <v>-2.4775604688329622E-2</v>
      </c>
      <c r="BM52" s="140">
        <f t="shared" si="22"/>
        <v>4.9355844384990633E-4</v>
      </c>
      <c r="BN52" s="140">
        <f t="shared" si="23"/>
        <v>-1.439201325410977E-3</v>
      </c>
      <c r="BO52" s="140">
        <f t="shared" si="24"/>
        <v>-1.4007528487127274E-2</v>
      </c>
      <c r="BP52" s="140">
        <f t="shared" si="25"/>
        <v>2.0557645708322525E-2</v>
      </c>
    </row>
    <row r="53" spans="1:68" ht="15" x14ac:dyDescent="0.25">
      <c r="A53" s="98">
        <v>47</v>
      </c>
      <c r="B53" s="124">
        <v>7</v>
      </c>
      <c r="C53" s="141" t="s">
        <v>445</v>
      </c>
      <c r="D53" s="126">
        <v>4.3049029420256686E-3</v>
      </c>
      <c r="E53" s="128">
        <f t="shared" si="1"/>
        <v>13184395.807697335</v>
      </c>
      <c r="F53" s="126">
        <v>4.3049029420256686E-3</v>
      </c>
      <c r="G53" s="128">
        <f t="shared" si="2"/>
        <v>5077638.58635878</v>
      </c>
      <c r="H53" s="126">
        <v>4.3049029420256686E-3</v>
      </c>
      <c r="I53" s="128">
        <f t="shared" si="27"/>
        <v>462127.78789133421</v>
      </c>
      <c r="J53" s="126">
        <v>4.3049029420256686E-3</v>
      </c>
      <c r="K53" s="128">
        <f t="shared" si="27"/>
        <v>1228511.3671275633</v>
      </c>
      <c r="L53" s="126">
        <v>4.3049029420256686E-3</v>
      </c>
      <c r="M53" s="128">
        <f t="shared" si="4"/>
        <v>36716.323471904536</v>
      </c>
      <c r="N53" s="129" t="s">
        <v>391</v>
      </c>
      <c r="O53" s="128" t="str">
        <f t="shared" si="5"/>
        <v>NA</v>
      </c>
      <c r="P53" s="126">
        <v>4.3049029420256686E-3</v>
      </c>
      <c r="Q53" s="128">
        <f t="shared" si="6"/>
        <v>153176.19119766602</v>
      </c>
      <c r="R53" s="126">
        <v>4.3049029420256686E-3</v>
      </c>
      <c r="S53" s="128">
        <f t="shared" si="7"/>
        <v>174551.78640032085</v>
      </c>
      <c r="T53" s="126">
        <v>4.3049029420256686E-3</v>
      </c>
      <c r="U53" s="128">
        <f t="shared" si="8"/>
        <v>169146.98075660761</v>
      </c>
      <c r="V53" s="126">
        <v>4.3049029420256686E-3</v>
      </c>
      <c r="W53" s="128">
        <f t="shared" si="9"/>
        <v>27719.291568217985</v>
      </c>
      <c r="X53" s="131">
        <v>3.1103557268993311E-3</v>
      </c>
      <c r="Y53" s="128">
        <f t="shared" si="10"/>
        <v>357164.74526688212</v>
      </c>
      <c r="Z53" s="133" t="e">
        <f t="shared" si="11"/>
        <v>#VALUE!</v>
      </c>
      <c r="AA53" s="134">
        <v>4.5516108997901636E-3</v>
      </c>
      <c r="AB53" s="135">
        <f t="shared" si="12"/>
        <v>20871148.867736615</v>
      </c>
      <c r="AD53" s="136">
        <v>20701710</v>
      </c>
      <c r="AE53" s="137">
        <f t="shared" si="13"/>
        <v>-8.1183297005054111E-3</v>
      </c>
      <c r="AP53" s="138" t="s">
        <v>189</v>
      </c>
      <c r="AQ53">
        <v>13184395.799999999</v>
      </c>
      <c r="AR53">
        <v>5077638.57</v>
      </c>
      <c r="AS53">
        <v>462127.79000000004</v>
      </c>
      <c r="AT53">
        <v>1228511.3600000001</v>
      </c>
      <c r="AU53">
        <v>36716.299999999996</v>
      </c>
      <c r="AV53"/>
      <c r="AW53">
        <v>153176.18</v>
      </c>
      <c r="AX53">
        <v>174551.79</v>
      </c>
      <c r="AY53">
        <v>169146.97</v>
      </c>
      <c r="AZ53">
        <v>27719.31</v>
      </c>
      <c r="BA53">
        <v>357164.76</v>
      </c>
      <c r="BB53">
        <v>20871148.829999998</v>
      </c>
      <c r="BD53" s="138" t="s">
        <v>189</v>
      </c>
      <c r="BE53" s="139">
        <f t="shared" si="14"/>
        <v>7.6973363757133484E-3</v>
      </c>
      <c r="BF53" s="140">
        <f t="shared" si="15"/>
        <v>-1.6358779743313789E-2</v>
      </c>
      <c r="BG53" s="140">
        <f t="shared" si="16"/>
        <v>-2.1086658234708011E-3</v>
      </c>
      <c r="BH53" s="140">
        <f t="shared" si="17"/>
        <v>7.1275632362812757E-3</v>
      </c>
      <c r="BI53" s="140">
        <f t="shared" si="18"/>
        <v>2.3471904540201649E-2</v>
      </c>
      <c r="BJ53" s="140">
        <f t="shared" si="19"/>
        <v>0</v>
      </c>
      <c r="BK53" s="140">
        <f t="shared" si="20"/>
        <v>1.1197666026419029E-2</v>
      </c>
      <c r="BL53" s="140">
        <f t="shared" si="21"/>
        <v>-3.5996791557408869E-3</v>
      </c>
      <c r="BM53" s="140">
        <f t="shared" si="22"/>
        <v>-1.0756607603980228E-2</v>
      </c>
      <c r="BN53" s="140">
        <f t="shared" si="23"/>
        <v>-1.8431782016705256E-2</v>
      </c>
      <c r="BO53" s="140">
        <f t="shared" si="24"/>
        <v>-1.4733117888681591E-2</v>
      </c>
      <c r="BP53" s="140">
        <f t="shared" si="25"/>
        <v>3.7736617028713226E-2</v>
      </c>
    </row>
    <row r="54" spans="1:68" ht="15" x14ac:dyDescent="0.25">
      <c r="A54" s="98">
        <v>48</v>
      </c>
      <c r="B54" s="124">
        <v>1</v>
      </c>
      <c r="C54" s="141" t="s">
        <v>446</v>
      </c>
      <c r="D54" s="126">
        <v>9.5513436778567398E-3</v>
      </c>
      <c r="E54" s="128">
        <f t="shared" si="1"/>
        <v>29252389.017847449</v>
      </c>
      <c r="F54" s="126">
        <v>9.5513436778567398E-3</v>
      </c>
      <c r="G54" s="128">
        <f t="shared" si="2"/>
        <v>11265822.2179194</v>
      </c>
      <c r="H54" s="126">
        <v>9.5513436778567398E-3</v>
      </c>
      <c r="I54" s="128">
        <f t="shared" si="27"/>
        <v>1025328.8830620742</v>
      </c>
      <c r="J54" s="126">
        <v>9.5513436778567398E-3</v>
      </c>
      <c r="K54" s="128">
        <f t="shared" si="27"/>
        <v>2725714.0143716224</v>
      </c>
      <c r="L54" s="126">
        <v>9.5513436778567398E-3</v>
      </c>
      <c r="M54" s="128">
        <f t="shared" si="4"/>
        <v>81462.980417974628</v>
      </c>
      <c r="N54" s="129" t="s">
        <v>391</v>
      </c>
      <c r="O54" s="128" t="str">
        <f t="shared" si="5"/>
        <v>NA</v>
      </c>
      <c r="P54" s="126">
        <v>9.5513436778567398E-3</v>
      </c>
      <c r="Q54" s="128">
        <f t="shared" si="6"/>
        <v>339853.99092541932</v>
      </c>
      <c r="R54" s="126">
        <v>9.5513436778567398E-3</v>
      </c>
      <c r="S54" s="128">
        <f t="shared" si="7"/>
        <v>387280.29968285485</v>
      </c>
      <c r="T54" s="126">
        <v>9.5513436778567398E-3</v>
      </c>
      <c r="U54" s="128">
        <f t="shared" si="8"/>
        <v>375288.58769530576</v>
      </c>
      <c r="V54" s="126">
        <v>9.5513436778567398E-3</v>
      </c>
      <c r="W54" s="128">
        <f t="shared" si="9"/>
        <v>61501.149698437926</v>
      </c>
      <c r="X54" s="131">
        <v>1.1696942432822981E-2</v>
      </c>
      <c r="Y54" s="128">
        <f t="shared" si="10"/>
        <v>1343169.6665079943</v>
      </c>
      <c r="Z54" s="133" t="e">
        <f t="shared" si="11"/>
        <v>#VALUE!</v>
      </c>
      <c r="AA54" s="134">
        <v>9.952412459425521E-3</v>
      </c>
      <c r="AB54" s="135">
        <f t="shared" si="12"/>
        <v>46857810.808128528</v>
      </c>
      <c r="AD54" s="142">
        <v>46481875</v>
      </c>
      <c r="AE54" s="137">
        <f t="shared" si="13"/>
        <v>-8.0229059284885329E-3</v>
      </c>
      <c r="AP54" s="138" t="s">
        <v>190</v>
      </c>
      <c r="AQ54">
        <v>29252389.020000003</v>
      </c>
      <c r="AR54">
        <v>11265822.229999999</v>
      </c>
      <c r="AS54">
        <v>1025328.8799999998</v>
      </c>
      <c r="AT54">
        <v>2725714.0299999993</v>
      </c>
      <c r="AU54">
        <v>81462.990000000005</v>
      </c>
      <c r="AV54"/>
      <c r="AW54">
        <v>339853.99</v>
      </c>
      <c r="AX54">
        <v>387280.31</v>
      </c>
      <c r="AY54">
        <v>375288.58999999997</v>
      </c>
      <c r="AZ54">
        <v>61501.159999999996</v>
      </c>
      <c r="BA54">
        <v>1343169.68</v>
      </c>
      <c r="BB54">
        <v>46857810.880000003</v>
      </c>
      <c r="BD54" s="138" t="s">
        <v>190</v>
      </c>
      <c r="BE54" s="139">
        <f t="shared" si="14"/>
        <v>-2.1525546908378601E-3</v>
      </c>
      <c r="BF54" s="140">
        <f t="shared" si="15"/>
        <v>1.2080598622560501E-2</v>
      </c>
      <c r="BG54" s="140">
        <f t="shared" si="16"/>
        <v>3.0620744219049811E-3</v>
      </c>
      <c r="BH54" s="140">
        <f t="shared" si="17"/>
        <v>-1.5628376975655556E-2</v>
      </c>
      <c r="BI54" s="140">
        <f t="shared" si="18"/>
        <v>-9.5820253773126751E-3</v>
      </c>
      <c r="BJ54" s="140">
        <f t="shared" si="19"/>
        <v>0</v>
      </c>
      <c r="BK54" s="140">
        <f t="shared" si="20"/>
        <v>9.2541932826861739E-4</v>
      </c>
      <c r="BL54" s="140">
        <f t="shared" si="21"/>
        <v>-1.0317145148292184E-2</v>
      </c>
      <c r="BM54" s="140">
        <f t="shared" si="22"/>
        <v>2.3046942078508437E-3</v>
      </c>
      <c r="BN54" s="140">
        <f t="shared" si="23"/>
        <v>-1.030156206979882E-2</v>
      </c>
      <c r="BO54" s="140">
        <f t="shared" si="24"/>
        <v>-1.3492005644366145E-2</v>
      </c>
      <c r="BP54" s="140">
        <f t="shared" si="25"/>
        <v>-7.1871474385261536E-2</v>
      </c>
    </row>
    <row r="55" spans="1:68" ht="15" x14ac:dyDescent="0.25">
      <c r="A55" s="98">
        <v>49</v>
      </c>
      <c r="B55" s="124">
        <v>7</v>
      </c>
      <c r="C55" s="141" t="s">
        <v>447</v>
      </c>
      <c r="D55" s="126">
        <v>3.7474180820030547E-3</v>
      </c>
      <c r="E55" s="128">
        <f t="shared" si="1"/>
        <v>11477016.767955663</v>
      </c>
      <c r="F55" s="126">
        <v>3.7474180820030547E-3</v>
      </c>
      <c r="G55" s="128">
        <f t="shared" si="2"/>
        <v>4420084.4731341833</v>
      </c>
      <c r="H55" s="126">
        <v>3.7474180820030547E-3</v>
      </c>
      <c r="I55" s="128">
        <f t="shared" si="27"/>
        <v>402282.24697794643</v>
      </c>
      <c r="J55" s="126">
        <v>3.7474180820030547E-3</v>
      </c>
      <c r="K55" s="128">
        <f t="shared" si="27"/>
        <v>1069419.1653375197</v>
      </c>
      <c r="L55" s="126">
        <v>3.7474180820030547E-3</v>
      </c>
      <c r="M55" s="128">
        <f t="shared" si="4"/>
        <v>31961.560187590363</v>
      </c>
      <c r="N55" s="129" t="s">
        <v>391</v>
      </c>
      <c r="O55" s="128" t="str">
        <f t="shared" si="5"/>
        <v>NA</v>
      </c>
      <c r="P55" s="126">
        <v>3.7474180820030547E-3</v>
      </c>
      <c r="Q55" s="128">
        <f t="shared" si="6"/>
        <v>133339.87696279824</v>
      </c>
      <c r="R55" s="126">
        <v>3.7474180820030547E-3</v>
      </c>
      <c r="S55" s="128">
        <f t="shared" si="7"/>
        <v>151947.33293910275</v>
      </c>
      <c r="T55" s="126">
        <v>3.7474180820030547E-3</v>
      </c>
      <c r="U55" s="128">
        <f t="shared" si="8"/>
        <v>147242.44953714791</v>
      </c>
      <c r="V55" s="126">
        <v>3.7474180820030547E-3</v>
      </c>
      <c r="W55" s="128">
        <f t="shared" si="9"/>
        <v>24129.643767108075</v>
      </c>
      <c r="X55" s="131">
        <v>2.4784138429005094E-3</v>
      </c>
      <c r="Y55" s="128">
        <f t="shared" si="10"/>
        <v>284598.3310558243</v>
      </c>
      <c r="Z55" s="133" t="e">
        <f t="shared" si="11"/>
        <v>#VALUE!</v>
      </c>
      <c r="AA55" s="134">
        <v>3.961645977955403E-3</v>
      </c>
      <c r="AB55" s="135">
        <f t="shared" si="12"/>
        <v>18142021.847854882</v>
      </c>
      <c r="AD55" s="136">
        <v>17994526</v>
      </c>
      <c r="AE55" s="137">
        <f t="shared" si="13"/>
        <v>-8.1300667087622625E-3</v>
      </c>
      <c r="AP55" s="138" t="s">
        <v>191</v>
      </c>
      <c r="AQ55">
        <v>11477016.760000002</v>
      </c>
      <c r="AR55">
        <v>4420084.4800000004</v>
      </c>
      <c r="AS55">
        <v>402282.23999999999</v>
      </c>
      <c r="AT55">
        <v>1069419.1900000002</v>
      </c>
      <c r="AU55">
        <v>31961.529999999995</v>
      </c>
      <c r="AV55"/>
      <c r="AW55">
        <v>133339.87000000002</v>
      </c>
      <c r="AX55">
        <v>151947.33999999997</v>
      </c>
      <c r="AY55">
        <v>147242.44999999998</v>
      </c>
      <c r="AZ55">
        <v>24129.63</v>
      </c>
      <c r="BA55">
        <v>284598.34999999998</v>
      </c>
      <c r="BB55">
        <v>18142021.84</v>
      </c>
      <c r="BD55" s="138" t="s">
        <v>191</v>
      </c>
      <c r="BE55" s="139">
        <f t="shared" si="14"/>
        <v>7.9556610435247421E-3</v>
      </c>
      <c r="BF55" s="140">
        <f t="shared" si="15"/>
        <v>6.8658171221613884E-3</v>
      </c>
      <c r="BG55" s="140">
        <f t="shared" si="16"/>
        <v>6.9779464392922819E-3</v>
      </c>
      <c r="BH55" s="140">
        <f t="shared" si="17"/>
        <v>-2.4662480456754565E-2</v>
      </c>
      <c r="BI55" s="140">
        <f t="shared" si="18"/>
        <v>3.0187590367859229E-2</v>
      </c>
      <c r="BJ55" s="140">
        <f t="shared" si="19"/>
        <v>0</v>
      </c>
      <c r="BK55" s="140">
        <f t="shared" si="20"/>
        <v>6.962798215681687E-3</v>
      </c>
      <c r="BL55" s="140">
        <f t="shared" si="21"/>
        <v>-7.0608972164336592E-3</v>
      </c>
      <c r="BM55" s="140">
        <f t="shared" si="22"/>
        <v>4.6285206917673349E-4</v>
      </c>
      <c r="BN55" s="140">
        <f t="shared" si="23"/>
        <v>1.3767108073807321E-2</v>
      </c>
      <c r="BO55" s="140">
        <f t="shared" si="24"/>
        <v>-1.8944175681099296E-2</v>
      </c>
      <c r="BP55" s="140">
        <f t="shared" si="25"/>
        <v>7.8548826277256012E-3</v>
      </c>
    </row>
    <row r="56" spans="1:68" ht="15" x14ac:dyDescent="0.25">
      <c r="A56" s="98">
        <v>50</v>
      </c>
      <c r="B56" s="124">
        <v>2</v>
      </c>
      <c r="C56" s="143" t="s">
        <v>448</v>
      </c>
      <c r="D56" s="126">
        <v>0.33904347429356796</v>
      </c>
      <c r="E56" s="128">
        <f>E113-SUM(E57:E112)-SUM(E7:E55)</f>
        <v>1038370300.3998183</v>
      </c>
      <c r="F56" s="126">
        <v>0.33904347429356796</v>
      </c>
      <c r="G56" s="128">
        <f>G113-SUM(G57:G112)-SUM(G7:G55)</f>
        <v>399902216.3124758</v>
      </c>
      <c r="H56" s="126">
        <v>0.33904347429356796</v>
      </c>
      <c r="I56" s="128">
        <f>I113-SUM(I57:I112)-SUM(I7:I55)</f>
        <v>36396037.932635173</v>
      </c>
      <c r="J56" s="126">
        <v>0.33904347429356796</v>
      </c>
      <c r="K56" s="128">
        <f>K113-SUM(K57:K112)-SUM(K7:K55)</f>
        <v>96754507.065396801</v>
      </c>
      <c r="L56" s="126">
        <v>0.33904347429356796</v>
      </c>
      <c r="M56" s="128">
        <f>M113-SUM(M57:M112)-SUM(M7:M55)</f>
        <v>2891686.5352934981</v>
      </c>
      <c r="N56" s="129">
        <v>0.55000000040290786</v>
      </c>
      <c r="O56" s="128">
        <f t="shared" si="5"/>
        <v>136507600.99999997</v>
      </c>
      <c r="P56" s="126">
        <v>0.33904347429356796</v>
      </c>
      <c r="Q56" s="128">
        <f>Q113-SUM(Q57:Q112)-SUM(Q7:Q55)</f>
        <v>12063776.754575407</v>
      </c>
      <c r="R56" s="126">
        <v>0.33904347429356796</v>
      </c>
      <c r="S56" s="128">
        <f>S113-SUM(S57:S112)-SUM(S7:S55)</f>
        <v>13747265.595137002</v>
      </c>
      <c r="T56" s="126">
        <v>0.33904347429356796</v>
      </c>
      <c r="U56" s="128">
        <f>U113-SUM(U57:U112)-SUM(U7:U55)</f>
        <v>13321596.513161434</v>
      </c>
      <c r="V56" s="126">
        <v>0.33904347429356796</v>
      </c>
      <c r="W56" s="128">
        <f>W113-SUM(W57:W112)-SUM(W7:W55)</f>
        <v>2183102.6261936561</v>
      </c>
      <c r="X56" s="131">
        <v>0.36963765303409196</v>
      </c>
      <c r="Y56" s="128">
        <f>Y113-SUM(Y57:Y112)-SUM(Y7:Y55)</f>
        <v>42445800.34534508</v>
      </c>
      <c r="Z56" s="133">
        <f t="shared" si="11"/>
        <v>1780337011.6992631</v>
      </c>
      <c r="AA56" s="134">
        <v>0.33061141252241383</v>
      </c>
      <c r="AB56" s="135">
        <f t="shared" si="12"/>
        <v>1794583891.0800323</v>
      </c>
      <c r="AD56" s="142">
        <v>1781239305</v>
      </c>
      <c r="AE56" s="137">
        <f t="shared" si="13"/>
        <v>-7.4360335821365142E-3</v>
      </c>
      <c r="AP56" s="138" t="s">
        <v>449</v>
      </c>
      <c r="AQ56">
        <v>1038370300.4700001</v>
      </c>
      <c r="AR56">
        <v>399902216.33000004</v>
      </c>
      <c r="AS56">
        <v>36396038.009999998</v>
      </c>
      <c r="AT56">
        <v>96754507.019999981</v>
      </c>
      <c r="AU56">
        <v>2891686.13</v>
      </c>
      <c r="AV56">
        <v>136507600.94</v>
      </c>
      <c r="AW56">
        <v>12063776.890000006</v>
      </c>
      <c r="AX56">
        <v>13747265.609999999</v>
      </c>
      <c r="AY56">
        <v>13321596.409999998</v>
      </c>
      <c r="AZ56">
        <v>2183102.5499999989</v>
      </c>
      <c r="BA56">
        <v>42445800.200000003</v>
      </c>
      <c r="BB56">
        <v>1794583890.5600002</v>
      </c>
      <c r="BD56" s="138" t="s">
        <v>449</v>
      </c>
      <c r="BE56" s="139">
        <f t="shared" si="14"/>
        <v>-7.0181846618652344E-2</v>
      </c>
      <c r="BF56" s="140">
        <f t="shared" si="15"/>
        <v>1.7524242401123047E-2</v>
      </c>
      <c r="BG56" s="140">
        <f t="shared" si="16"/>
        <v>-7.7364824712276459E-2</v>
      </c>
      <c r="BH56" s="140">
        <f t="shared" si="17"/>
        <v>4.5396819710731506E-2</v>
      </c>
      <c r="BI56" s="140">
        <f t="shared" si="18"/>
        <v>0.40529349818825722</v>
      </c>
      <c r="BJ56" s="140">
        <f t="shared" si="19"/>
        <v>5.9999972581863403E-2</v>
      </c>
      <c r="BK56" s="140">
        <f t="shared" si="20"/>
        <v>-0.13542459905147552</v>
      </c>
      <c r="BL56" s="140">
        <f t="shared" si="21"/>
        <v>-1.4862997457385063E-2</v>
      </c>
      <c r="BM56" s="140">
        <f t="shared" si="22"/>
        <v>-0.10316143557429314</v>
      </c>
      <c r="BN56" s="140">
        <f t="shared" si="23"/>
        <v>7.6193657238036394E-2</v>
      </c>
      <c r="BO56" s="140">
        <f t="shared" si="24"/>
        <v>0.14534507691860199</v>
      </c>
      <c r="BP56" s="140">
        <f t="shared" si="25"/>
        <v>0.52003216743469238</v>
      </c>
    </row>
    <row r="57" spans="1:68" ht="15" x14ac:dyDescent="0.25">
      <c r="A57" s="98">
        <v>51</v>
      </c>
      <c r="B57" s="124">
        <v>2</v>
      </c>
      <c r="C57" s="141" t="s">
        <v>450</v>
      </c>
      <c r="D57" s="126">
        <v>3.5428225464555919E-3</v>
      </c>
      <c r="E57" s="128">
        <f t="shared" ref="E57:E112" si="28">D57*E$113</f>
        <v>10850412.972824274</v>
      </c>
      <c r="F57" s="126">
        <v>3.5428225464555919E-3</v>
      </c>
      <c r="G57" s="128">
        <f t="shared" si="2"/>
        <v>4178763.7744139233</v>
      </c>
      <c r="H57" s="126">
        <v>3.5428225464555919E-3</v>
      </c>
      <c r="I57" s="128">
        <f t="shared" ref="I57:K72" si="29">H57*I$113</f>
        <v>380319.08461905207</v>
      </c>
      <c r="J57" s="126">
        <v>3.5428225464555919E-3</v>
      </c>
      <c r="K57" s="128">
        <f t="shared" si="29"/>
        <v>1011032.7291115412</v>
      </c>
      <c r="L57" s="126">
        <v>3.5428225464555919E-3</v>
      </c>
      <c r="M57" s="128">
        <f t="shared" ref="M57:M112" si="30">L57*M$113</f>
        <v>30216.574071705152</v>
      </c>
      <c r="N57" s="129" t="s">
        <v>391</v>
      </c>
      <c r="O57" s="128" t="str">
        <f t="shared" si="5"/>
        <v>NA</v>
      </c>
      <c r="P57" s="126">
        <v>3.5428225464555919E-3</v>
      </c>
      <c r="Q57" s="128">
        <f t="shared" ref="Q57:Q112" si="31">P57*Q$113</f>
        <v>126059.99974065105</v>
      </c>
      <c r="R57" s="126">
        <v>3.5428225464555919E-3</v>
      </c>
      <c r="S57" s="128">
        <f t="shared" ref="S57:S112" si="32">R57*S$113</f>
        <v>143651.55561257945</v>
      </c>
      <c r="T57" s="126">
        <v>3.5428225464555919E-3</v>
      </c>
      <c r="U57" s="128">
        <f t="shared" ref="U57:U112" si="33">T57*U$113</f>
        <v>139203.54190550445</v>
      </c>
      <c r="V57" s="126">
        <v>3.5428225464555919E-3</v>
      </c>
      <c r="W57" s="128">
        <f t="shared" ref="W57:W112" si="34">V57*W$113</f>
        <v>22812.252090740287</v>
      </c>
      <c r="X57" s="131">
        <v>1.5611259832529261E-3</v>
      </c>
      <c r="Y57" s="128">
        <f t="shared" ref="Y57:Y112" si="35">X57*Y$113</f>
        <v>179265.40019712952</v>
      </c>
      <c r="Z57" s="133" t="e">
        <f t="shared" si="11"/>
        <v>#VALUE!</v>
      </c>
      <c r="AA57" s="134">
        <v>3.7432348595427961E-3</v>
      </c>
      <c r="AB57" s="135">
        <f t="shared" si="12"/>
        <v>17061737.884587102</v>
      </c>
      <c r="AD57" s="136">
        <v>16922294</v>
      </c>
      <c r="AE57" s="137">
        <f t="shared" si="13"/>
        <v>-8.1729004120424387E-3</v>
      </c>
      <c r="AP57" s="138" t="s">
        <v>451</v>
      </c>
      <c r="AQ57">
        <v>10850412.970000003</v>
      </c>
      <c r="AR57">
        <v>4178763.7900000005</v>
      </c>
      <c r="AS57">
        <v>380319.09000000008</v>
      </c>
      <c r="AT57">
        <v>1011032.7599999999</v>
      </c>
      <c r="AU57">
        <v>30216.609999999997</v>
      </c>
      <c r="AV57"/>
      <c r="AW57">
        <v>126059.98999999999</v>
      </c>
      <c r="AX57">
        <v>143651.57</v>
      </c>
      <c r="AY57">
        <v>139203.55000000002</v>
      </c>
      <c r="AZ57">
        <v>22812.25</v>
      </c>
      <c r="BA57">
        <v>179265.41</v>
      </c>
      <c r="BB57">
        <v>17061737.990000002</v>
      </c>
      <c r="BD57" s="138" t="s">
        <v>451</v>
      </c>
      <c r="BE57" s="139">
        <f t="shared" si="14"/>
        <v>2.824271097779274E-3</v>
      </c>
      <c r="BF57" s="140">
        <f t="shared" si="15"/>
        <v>1.5586077235639095E-2</v>
      </c>
      <c r="BG57" s="140">
        <f t="shared" si="16"/>
        <v>-5.3809480159543455E-3</v>
      </c>
      <c r="BH57" s="140">
        <f t="shared" si="17"/>
        <v>-3.0888458713889122E-2</v>
      </c>
      <c r="BI57" s="140">
        <f t="shared" si="18"/>
        <v>-3.5928294844779884E-2</v>
      </c>
      <c r="BJ57" s="140">
        <f t="shared" si="19"/>
        <v>0</v>
      </c>
      <c r="BK57" s="140">
        <f t="shared" si="20"/>
        <v>9.7406510612927377E-3</v>
      </c>
      <c r="BL57" s="140">
        <f t="shared" si="21"/>
        <v>-1.4387420553248376E-2</v>
      </c>
      <c r="BM57" s="140">
        <f t="shared" si="22"/>
        <v>8.0944955698214471E-3</v>
      </c>
      <c r="BN57" s="140">
        <f t="shared" si="23"/>
        <v>2.0907402868033387E-3</v>
      </c>
      <c r="BO57" s="140">
        <f t="shared" si="24"/>
        <v>-9.8028704815078527E-3</v>
      </c>
      <c r="BP57" s="140">
        <f t="shared" si="25"/>
        <v>-0.10541290044784546</v>
      </c>
    </row>
    <row r="58" spans="1:68" ht="15" x14ac:dyDescent="0.25">
      <c r="A58" s="98">
        <v>52</v>
      </c>
      <c r="B58" s="124">
        <v>4</v>
      </c>
      <c r="C58" s="143" t="s">
        <v>452</v>
      </c>
      <c r="D58" s="126">
        <v>1.3725281711995694E-2</v>
      </c>
      <c r="E58" s="128">
        <f t="shared" si="28"/>
        <v>42035685.612449735</v>
      </c>
      <c r="F58" s="126">
        <v>1.3725281711995694E-2</v>
      </c>
      <c r="G58" s="128">
        <f t="shared" si="2"/>
        <v>16188987.526088174</v>
      </c>
      <c r="H58" s="126">
        <v>1.3725281711995694E-2</v>
      </c>
      <c r="I58" s="128">
        <f t="shared" si="29"/>
        <v>1473397.6958758887</v>
      </c>
      <c r="J58" s="126">
        <v>1.3725281711995694E-2</v>
      </c>
      <c r="K58" s="128">
        <f t="shared" si="29"/>
        <v>3916851.2803404881</v>
      </c>
      <c r="L58" s="126">
        <v>1.3725281711995694E-2</v>
      </c>
      <c r="M58" s="128">
        <f t="shared" si="30"/>
        <v>117062.31008393424</v>
      </c>
      <c r="N58" s="129" t="s">
        <v>391</v>
      </c>
      <c r="O58" s="128" t="str">
        <f t="shared" si="5"/>
        <v>NA</v>
      </c>
      <c r="P58" s="126">
        <v>1.3725281711995694E-2</v>
      </c>
      <c r="Q58" s="128">
        <f t="shared" si="31"/>
        <v>488370.2150946068</v>
      </c>
      <c r="R58" s="126">
        <v>1.3725281711995694E-2</v>
      </c>
      <c r="S58" s="128">
        <f t="shared" si="32"/>
        <v>556521.82498432207</v>
      </c>
      <c r="T58" s="126">
        <v>1.3725281711995694E-2</v>
      </c>
      <c r="U58" s="128">
        <f t="shared" si="33"/>
        <v>539289.73379491153</v>
      </c>
      <c r="V58" s="126">
        <v>1.3725281711995694E-2</v>
      </c>
      <c r="W58" s="128">
        <f t="shared" si="34"/>
        <v>88377.157569948817</v>
      </c>
      <c r="X58" s="131">
        <v>1.7281350614351969E-2</v>
      </c>
      <c r="Y58" s="128">
        <f t="shared" si="35"/>
        <v>1984431.9209737997</v>
      </c>
      <c r="Z58" s="133" t="e">
        <f t="shared" si="11"/>
        <v>#VALUE!</v>
      </c>
      <c r="AA58" s="134">
        <v>1.416229670006499E-2</v>
      </c>
      <c r="AB58" s="135">
        <f t="shared" si="12"/>
        <v>67388975.277255803</v>
      </c>
      <c r="AD58" s="142">
        <v>66848754</v>
      </c>
      <c r="AE58" s="137">
        <f t="shared" si="13"/>
        <v>-8.0164637469732902E-3</v>
      </c>
      <c r="AP58" s="138" t="s">
        <v>192</v>
      </c>
      <c r="AQ58">
        <v>42035685.609999999</v>
      </c>
      <c r="AR58">
        <v>16188987.529999999</v>
      </c>
      <c r="AS58">
        <v>1473397.6999999997</v>
      </c>
      <c r="AT58">
        <v>3916851.2900000005</v>
      </c>
      <c r="AU58">
        <v>117062.32000000002</v>
      </c>
      <c r="AV58"/>
      <c r="AW58">
        <v>488370.22</v>
      </c>
      <c r="AX58">
        <v>556521.83000000007</v>
      </c>
      <c r="AY58">
        <v>539289.75</v>
      </c>
      <c r="AZ58">
        <v>88377.14</v>
      </c>
      <c r="BA58">
        <v>1984431.9200000002</v>
      </c>
      <c r="BB58">
        <v>67388975.310000002</v>
      </c>
      <c r="BD58" s="138" t="s">
        <v>192</v>
      </c>
      <c r="BE58" s="139">
        <f t="shared" si="14"/>
        <v>2.4497359991073608E-3</v>
      </c>
      <c r="BF58" s="140">
        <f t="shared" si="15"/>
        <v>3.9118248969316483E-3</v>
      </c>
      <c r="BG58" s="140">
        <f t="shared" si="16"/>
        <v>-4.1241110302507877E-3</v>
      </c>
      <c r="BH58" s="140">
        <f t="shared" si="17"/>
        <v>-9.6595124341547489E-3</v>
      </c>
      <c r="BI58" s="140">
        <f t="shared" si="18"/>
        <v>-9.9160657846368849E-3</v>
      </c>
      <c r="BJ58" s="140">
        <f t="shared" si="19"/>
        <v>0</v>
      </c>
      <c r="BK58" s="140">
        <f t="shared" si="20"/>
        <v>-4.9053931725211442E-3</v>
      </c>
      <c r="BL58" s="140">
        <f t="shared" si="21"/>
        <v>-5.0156780052930117E-3</v>
      </c>
      <c r="BM58" s="140">
        <f t="shared" si="22"/>
        <v>1.6205088468268514E-2</v>
      </c>
      <c r="BN58" s="140">
        <f t="shared" si="23"/>
        <v>1.7569948817254044E-2</v>
      </c>
      <c r="BO58" s="140">
        <f t="shared" si="24"/>
        <v>9.7379949875175953E-4</v>
      </c>
      <c r="BP58" s="140">
        <f t="shared" si="25"/>
        <v>-3.274419903755188E-2</v>
      </c>
    </row>
    <row r="59" spans="1:68" ht="15" x14ac:dyDescent="0.25">
      <c r="A59" s="98">
        <v>53</v>
      </c>
      <c r="B59" s="124">
        <v>7</v>
      </c>
      <c r="C59" s="141" t="s">
        <v>453</v>
      </c>
      <c r="D59" s="126">
        <v>6.4591103186700163E-3</v>
      </c>
      <c r="E59" s="128">
        <f t="shared" si="28"/>
        <v>19781971.429733522</v>
      </c>
      <c r="F59" s="126">
        <v>6.4591103186700163E-3</v>
      </c>
      <c r="G59" s="128">
        <f t="shared" si="2"/>
        <v>7618528.9725009259</v>
      </c>
      <c r="H59" s="126">
        <v>6.4591103186700163E-3</v>
      </c>
      <c r="I59" s="128">
        <f t="shared" si="29"/>
        <v>693380.17686143401</v>
      </c>
      <c r="J59" s="126">
        <v>6.4591103186700163E-3</v>
      </c>
      <c r="K59" s="128">
        <f t="shared" si="29"/>
        <v>1843268.142134513</v>
      </c>
      <c r="L59" s="126">
        <v>6.4591103186700163E-3</v>
      </c>
      <c r="M59" s="128">
        <f t="shared" si="30"/>
        <v>55089.461247972227</v>
      </c>
      <c r="N59" s="129">
        <v>4.0000018050276925E-3</v>
      </c>
      <c r="O59" s="128">
        <f t="shared" si="5"/>
        <v>992782.99999999977</v>
      </c>
      <c r="P59" s="126">
        <v>6.4591103186700163E-3</v>
      </c>
      <c r="Q59" s="128">
        <f t="shared" si="31"/>
        <v>229826.76507774252</v>
      </c>
      <c r="R59" s="126">
        <v>6.4591103186700163E-3</v>
      </c>
      <c r="S59" s="128">
        <f t="shared" si="32"/>
        <v>261898.87666783881</v>
      </c>
      <c r="T59" s="126">
        <v>6.4591103186700163E-3</v>
      </c>
      <c r="U59" s="128">
        <f t="shared" si="33"/>
        <v>253789.4636627486</v>
      </c>
      <c r="V59" s="126">
        <v>6.4591103186700163E-3</v>
      </c>
      <c r="W59" s="128">
        <f t="shared" si="34"/>
        <v>41590.243637467822</v>
      </c>
      <c r="X59" s="131">
        <v>6.1925229286870689E-3</v>
      </c>
      <c r="Y59" s="128">
        <f t="shared" si="35"/>
        <v>711092.57865778159</v>
      </c>
      <c r="Z59" s="133">
        <f t="shared" si="11"/>
        <v>32211802.101466738</v>
      </c>
      <c r="AA59" s="134">
        <v>6.7864756197028525E-3</v>
      </c>
      <c r="AB59" s="135">
        <f t="shared" si="12"/>
        <v>32483219.11018195</v>
      </c>
      <c r="AD59" s="136">
        <v>32228991</v>
      </c>
      <c r="AE59" s="137">
        <f t="shared" si="13"/>
        <v>-7.8264444579713155E-3</v>
      </c>
      <c r="AP59" s="138" t="s">
        <v>193</v>
      </c>
      <c r="AQ59">
        <v>19781971.409999996</v>
      </c>
      <c r="AR59">
        <v>7618528.9700000007</v>
      </c>
      <c r="AS59">
        <v>693380.17999999993</v>
      </c>
      <c r="AT59">
        <v>1843268.15</v>
      </c>
      <c r="AU59">
        <v>55089.500000000007</v>
      </c>
      <c r="AV59">
        <v>992782.99999999988</v>
      </c>
      <c r="AW59">
        <v>229826.76000000004</v>
      </c>
      <c r="AX59">
        <v>261898.88</v>
      </c>
      <c r="AY59">
        <v>253789.46</v>
      </c>
      <c r="AZ59">
        <v>41590.25</v>
      </c>
      <c r="BA59">
        <v>711092.58000000007</v>
      </c>
      <c r="BB59">
        <v>32483219.139999997</v>
      </c>
      <c r="BD59" s="138" t="s">
        <v>193</v>
      </c>
      <c r="BE59" s="139">
        <f t="shared" si="14"/>
        <v>1.9733525812625885E-2</v>
      </c>
      <c r="BF59" s="140">
        <f t="shared" si="15"/>
        <v>-2.500925213098526E-3</v>
      </c>
      <c r="BG59" s="140">
        <f t="shared" si="16"/>
        <v>-3.1385659240186214E-3</v>
      </c>
      <c r="BH59" s="140">
        <f t="shared" si="17"/>
        <v>-7.8654868993908167E-3</v>
      </c>
      <c r="BI59" s="140">
        <f t="shared" si="18"/>
        <v>-3.8752027779992204E-2</v>
      </c>
      <c r="BJ59" s="140">
        <f t="shared" si="19"/>
        <v>-1.1641532182693481E-10</v>
      </c>
      <c r="BK59" s="140">
        <f t="shared" si="20"/>
        <v>5.077742476714775E-3</v>
      </c>
      <c r="BL59" s="140">
        <f t="shared" si="21"/>
        <v>-3.3321611990686506E-3</v>
      </c>
      <c r="BM59" s="140">
        <f t="shared" si="22"/>
        <v>-3.6627486115321517E-3</v>
      </c>
      <c r="BN59" s="140">
        <f t="shared" si="23"/>
        <v>-6.3625321781728417E-3</v>
      </c>
      <c r="BO59" s="140">
        <f t="shared" si="24"/>
        <v>-1.342218485660851E-3</v>
      </c>
      <c r="BP59" s="140">
        <f t="shared" si="25"/>
        <v>-2.981804683804512E-2</v>
      </c>
    </row>
    <row r="60" spans="1:68" ht="15" x14ac:dyDescent="0.25">
      <c r="A60" s="98">
        <v>54</v>
      </c>
      <c r="B60" s="124">
        <v>4</v>
      </c>
      <c r="C60" s="141" t="s">
        <v>454</v>
      </c>
      <c r="D60" s="126">
        <v>3.419641378123269E-3</v>
      </c>
      <c r="E60" s="128">
        <f t="shared" si="28"/>
        <v>10473152.602214448</v>
      </c>
      <c r="F60" s="126">
        <v>3.419641378123269E-3</v>
      </c>
      <c r="G60" s="128">
        <f t="shared" si="2"/>
        <v>4033471.4270926975</v>
      </c>
      <c r="H60" s="126">
        <v>3.419641378123269E-3</v>
      </c>
      <c r="I60" s="128">
        <f t="shared" si="29"/>
        <v>367095.68757667876</v>
      </c>
      <c r="J60" s="126">
        <v>3.419641378123269E-3</v>
      </c>
      <c r="K60" s="128">
        <f t="shared" si="29"/>
        <v>975879.91206774861</v>
      </c>
      <c r="L60" s="126">
        <v>3.419641378123269E-3</v>
      </c>
      <c r="M60" s="128">
        <f t="shared" si="30"/>
        <v>29165.967430151344</v>
      </c>
      <c r="N60" s="129" t="s">
        <v>391</v>
      </c>
      <c r="O60" s="128" t="str">
        <f t="shared" si="5"/>
        <v>NA</v>
      </c>
      <c r="P60" s="126">
        <v>3.419641378123269E-3</v>
      </c>
      <c r="Q60" s="128">
        <f t="shared" si="31"/>
        <v>121676.99216846518</v>
      </c>
      <c r="R60" s="126">
        <v>3.419641378123269E-3</v>
      </c>
      <c r="S60" s="128">
        <f t="shared" si="32"/>
        <v>138656.90340488809</v>
      </c>
      <c r="T60" s="126">
        <v>3.419641378123269E-3</v>
      </c>
      <c r="U60" s="128">
        <f t="shared" si="33"/>
        <v>134363.54365465432</v>
      </c>
      <c r="V60" s="126">
        <v>3.419641378123269E-3</v>
      </c>
      <c r="W60" s="128">
        <f t="shared" si="34"/>
        <v>22019.087931942617</v>
      </c>
      <c r="X60" s="131">
        <v>1.4493302847679527E-3</v>
      </c>
      <c r="Y60" s="128">
        <f t="shared" si="35"/>
        <v>166427.8067906918</v>
      </c>
      <c r="Z60" s="133" t="e">
        <f t="shared" si="11"/>
        <v>#VALUE!</v>
      </c>
      <c r="AA60" s="134">
        <v>3.6719145740899458E-3</v>
      </c>
      <c r="AB60" s="135">
        <f t="shared" si="12"/>
        <v>16461909.930332366</v>
      </c>
      <c r="AD60" s="142">
        <v>16327316</v>
      </c>
      <c r="AE60" s="137">
        <f t="shared" si="13"/>
        <v>-8.1760822955522228E-3</v>
      </c>
      <c r="AP60" s="138" t="s">
        <v>194</v>
      </c>
      <c r="AQ60">
        <v>10473152.600000001</v>
      </c>
      <c r="AR60">
        <v>4033471.4200000009</v>
      </c>
      <c r="AS60">
        <v>367095.67999999993</v>
      </c>
      <c r="AT60">
        <v>975879.91000000015</v>
      </c>
      <c r="AU60">
        <v>29166.010000000002</v>
      </c>
      <c r="AV60"/>
      <c r="AW60">
        <v>121677.00000000001</v>
      </c>
      <c r="AX60">
        <v>138656.88999999998</v>
      </c>
      <c r="AY60">
        <v>134363.55000000002</v>
      </c>
      <c r="AZ60">
        <v>22019.089999999997</v>
      </c>
      <c r="BA60">
        <v>166427.81</v>
      </c>
      <c r="BB60">
        <v>16461909.960000003</v>
      </c>
      <c r="BD60" s="138" t="s">
        <v>194</v>
      </c>
      <c r="BE60" s="139">
        <f t="shared" si="14"/>
        <v>2.2144466638565063E-3</v>
      </c>
      <c r="BF60" s="140">
        <f t="shared" si="15"/>
        <v>-7.0926966145634651E-3</v>
      </c>
      <c r="BG60" s="140">
        <f t="shared" si="16"/>
        <v>7.5766788213513792E-3</v>
      </c>
      <c r="BH60" s="140">
        <f t="shared" si="17"/>
        <v>2.0677484571933746E-3</v>
      </c>
      <c r="BI60" s="140">
        <f t="shared" si="18"/>
        <v>-4.2569848657876719E-2</v>
      </c>
      <c r="BJ60" s="140">
        <f t="shared" si="19"/>
        <v>0</v>
      </c>
      <c r="BK60" s="140">
        <f t="shared" si="20"/>
        <v>-7.8315348364412785E-3</v>
      </c>
      <c r="BL60" s="140">
        <f t="shared" si="21"/>
        <v>1.3404888100922108E-2</v>
      </c>
      <c r="BM60" s="140">
        <f t="shared" si="22"/>
        <v>6.3453456969000399E-3</v>
      </c>
      <c r="BN60" s="140">
        <f t="shared" si="23"/>
        <v>-2.0680573798017576E-3</v>
      </c>
      <c r="BO60" s="140">
        <f t="shared" si="24"/>
        <v>-3.2093081972561777E-3</v>
      </c>
      <c r="BP60" s="140">
        <f t="shared" si="25"/>
        <v>-2.9667636379599571E-2</v>
      </c>
    </row>
    <row r="61" spans="1:68" ht="15" x14ac:dyDescent="0.25">
      <c r="A61" s="98">
        <v>55</v>
      </c>
      <c r="B61" s="124">
        <v>1</v>
      </c>
      <c r="C61" s="141" t="s">
        <v>455</v>
      </c>
      <c r="D61" s="126">
        <v>4.6142671300063486E-3</v>
      </c>
      <c r="E61" s="128">
        <f t="shared" si="28"/>
        <v>14131868.946579508</v>
      </c>
      <c r="F61" s="126">
        <v>4.6142671300063486E-3</v>
      </c>
      <c r="G61" s="128">
        <f t="shared" si="2"/>
        <v>5442534.0460898876</v>
      </c>
      <c r="H61" s="126">
        <v>4.6142671300063486E-3</v>
      </c>
      <c r="I61" s="128">
        <f t="shared" si="29"/>
        <v>495337.77886433352</v>
      </c>
      <c r="J61" s="126">
        <v>4.6142671300063486E-3</v>
      </c>
      <c r="K61" s="128">
        <f t="shared" si="29"/>
        <v>1316796.1499983284</v>
      </c>
      <c r="L61" s="126">
        <v>4.6142671300063486E-3</v>
      </c>
      <c r="M61" s="128">
        <f t="shared" si="30"/>
        <v>39354.876709803299</v>
      </c>
      <c r="N61" s="129" t="s">
        <v>391</v>
      </c>
      <c r="O61" s="128" t="str">
        <f t="shared" si="5"/>
        <v>NA</v>
      </c>
      <c r="P61" s="126">
        <v>4.6142671300063486E-3</v>
      </c>
      <c r="Q61" s="128">
        <f t="shared" si="31"/>
        <v>164183.92555219278</v>
      </c>
      <c r="R61" s="126">
        <v>4.6142671300063486E-3</v>
      </c>
      <c r="S61" s="128">
        <f t="shared" si="32"/>
        <v>187095.63985939621</v>
      </c>
      <c r="T61" s="126">
        <v>4.6142671300063486E-3</v>
      </c>
      <c r="U61" s="128">
        <f t="shared" si="33"/>
        <v>181302.42747767322</v>
      </c>
      <c r="V61" s="126">
        <v>4.6142671300063486E-3</v>
      </c>
      <c r="W61" s="128">
        <f t="shared" si="34"/>
        <v>29711.289121446523</v>
      </c>
      <c r="X61" s="131">
        <v>3.4555671677140125E-3</v>
      </c>
      <c r="Y61" s="128">
        <f t="shared" si="35"/>
        <v>396805.6632671851</v>
      </c>
      <c r="Z61" s="133" t="e">
        <f t="shared" si="11"/>
        <v>#VALUE!</v>
      </c>
      <c r="AA61" s="134">
        <v>4.8441991078614459E-3</v>
      </c>
      <c r="AB61" s="135">
        <f t="shared" si="12"/>
        <v>22384990.743519757</v>
      </c>
      <c r="AD61" s="136">
        <v>22203375</v>
      </c>
      <c r="AE61" s="137">
        <f t="shared" si="13"/>
        <v>-8.1132820469149713E-3</v>
      </c>
      <c r="AP61" s="138" t="s">
        <v>456</v>
      </c>
      <c r="AQ61">
        <v>14131868.950000001</v>
      </c>
      <c r="AR61">
        <v>5442534.04</v>
      </c>
      <c r="AS61">
        <v>495337.78</v>
      </c>
      <c r="AT61">
        <v>1316796.1499999999</v>
      </c>
      <c r="AU61">
        <v>39354.86</v>
      </c>
      <c r="AV61"/>
      <c r="AW61">
        <v>164183.93999999997</v>
      </c>
      <c r="AX61">
        <v>187095.66000000003</v>
      </c>
      <c r="AY61">
        <v>181302.43999999997</v>
      </c>
      <c r="AZ61">
        <v>29711.270000000004</v>
      </c>
      <c r="BA61">
        <v>396805.64999999997</v>
      </c>
      <c r="BB61">
        <v>22384990.740000002</v>
      </c>
      <c r="BD61" s="138" t="s">
        <v>456</v>
      </c>
      <c r="BE61" s="139">
        <f t="shared" si="14"/>
        <v>-3.4204926341772079E-3</v>
      </c>
      <c r="BF61" s="140">
        <f t="shared" si="15"/>
        <v>-6.0898875817656517E-3</v>
      </c>
      <c r="BG61" s="140">
        <f t="shared" si="16"/>
        <v>-1.135666505433619E-3</v>
      </c>
      <c r="BH61" s="140">
        <f t="shared" si="17"/>
        <v>-1.6714911907911301E-6</v>
      </c>
      <c r="BI61" s="140">
        <f t="shared" si="18"/>
        <v>1.6709803297999315E-2</v>
      </c>
      <c r="BJ61" s="140">
        <f t="shared" si="19"/>
        <v>0</v>
      </c>
      <c r="BK61" s="140">
        <f t="shared" si="20"/>
        <v>-1.4447807188844308E-2</v>
      </c>
      <c r="BL61" s="140">
        <f t="shared" si="21"/>
        <v>-2.0140603824984282E-2</v>
      </c>
      <c r="BM61" s="140">
        <f t="shared" si="22"/>
        <v>1.2522326753241941E-2</v>
      </c>
      <c r="BN61" s="140">
        <f t="shared" si="23"/>
        <v>1.9121446519420715E-2</v>
      </c>
      <c r="BO61" s="140">
        <f t="shared" si="24"/>
        <v>1.326718513155356E-2</v>
      </c>
      <c r="BP61" s="140">
        <f t="shared" si="25"/>
        <v>3.5197548568248749E-3</v>
      </c>
    </row>
    <row r="62" spans="1:68" ht="15" x14ac:dyDescent="0.25">
      <c r="A62" s="98">
        <v>56</v>
      </c>
      <c r="B62" s="124">
        <v>7</v>
      </c>
      <c r="C62" s="141" t="s">
        <v>457</v>
      </c>
      <c r="D62" s="126">
        <v>1.2531246166120859E-2</v>
      </c>
      <c r="E62" s="128">
        <f t="shared" si="28"/>
        <v>38378776.860433578</v>
      </c>
      <c r="F62" s="126">
        <v>1.2531246166120859E-2</v>
      </c>
      <c r="G62" s="128">
        <f t="shared" si="2"/>
        <v>14780621.055840846</v>
      </c>
      <c r="H62" s="126">
        <v>1.2531246166120859E-2</v>
      </c>
      <c r="I62" s="128">
        <f t="shared" si="29"/>
        <v>1345218.9627174796</v>
      </c>
      <c r="J62" s="126">
        <v>1.2531246166120859E-2</v>
      </c>
      <c r="K62" s="128">
        <f t="shared" si="29"/>
        <v>3576103.4724070164</v>
      </c>
      <c r="L62" s="126">
        <v>1.2531246166120859E-2</v>
      </c>
      <c r="M62" s="128">
        <f t="shared" si="30"/>
        <v>106878.43464476733</v>
      </c>
      <c r="N62" s="129" t="s">
        <v>391</v>
      </c>
      <c r="O62" s="128" t="str">
        <f t="shared" si="5"/>
        <v>NA</v>
      </c>
      <c r="P62" s="126">
        <v>1.2531246166120859E-2</v>
      </c>
      <c r="Q62" s="128">
        <f t="shared" si="31"/>
        <v>445884.2823024331</v>
      </c>
      <c r="R62" s="126">
        <v>1.2531246166120859E-2</v>
      </c>
      <c r="S62" s="128">
        <f t="shared" si="32"/>
        <v>508107.01973441272</v>
      </c>
      <c r="T62" s="126">
        <v>1.2531246166120859E-2</v>
      </c>
      <c r="U62" s="128">
        <f t="shared" si="33"/>
        <v>492374.04017284798</v>
      </c>
      <c r="V62" s="126">
        <v>1.2531246166120859E-2</v>
      </c>
      <c r="W62" s="128">
        <f t="shared" si="34"/>
        <v>80688.756719883037</v>
      </c>
      <c r="X62" s="131">
        <v>1.6682935332327793E-2</v>
      </c>
      <c r="Y62" s="128">
        <f t="shared" si="35"/>
        <v>1915715.3944622029</v>
      </c>
      <c r="Z62" s="133" t="e">
        <f t="shared" si="11"/>
        <v>#VALUE!</v>
      </c>
      <c r="AA62" s="134">
        <v>1.2594527968379926E-2</v>
      </c>
      <c r="AB62" s="135">
        <f t="shared" si="12"/>
        <v>61630368.279435463</v>
      </c>
      <c r="AD62" s="142">
        <v>61137144</v>
      </c>
      <c r="AE62" s="137">
        <f t="shared" si="13"/>
        <v>-8.0029422702645459E-3</v>
      </c>
      <c r="AP62" s="138" t="s">
        <v>458</v>
      </c>
      <c r="AQ62">
        <v>38378776.870000005</v>
      </c>
      <c r="AR62">
        <v>14780621.060000002</v>
      </c>
      <c r="AS62">
        <v>1345218.97</v>
      </c>
      <c r="AT62">
        <v>3576103.4700000007</v>
      </c>
      <c r="AU62">
        <v>106878.39999999999</v>
      </c>
      <c r="AV62"/>
      <c r="AW62">
        <v>445884.28</v>
      </c>
      <c r="AX62">
        <v>508107.01</v>
      </c>
      <c r="AY62">
        <v>492374.07000000007</v>
      </c>
      <c r="AZ62">
        <v>80688.75</v>
      </c>
      <c r="BA62">
        <v>1915715.3899999997</v>
      </c>
      <c r="BB62">
        <v>61630368.270000003</v>
      </c>
      <c r="BD62" s="138" t="s">
        <v>458</v>
      </c>
      <c r="BE62" s="139">
        <f t="shared" si="14"/>
        <v>-9.5664262771606445E-3</v>
      </c>
      <c r="BF62" s="140">
        <f t="shared" si="15"/>
        <v>4.1591562330722809E-3</v>
      </c>
      <c r="BG62" s="140">
        <f t="shared" si="16"/>
        <v>-7.2825204115360975E-3</v>
      </c>
      <c r="BH62" s="140">
        <f t="shared" si="17"/>
        <v>2.4070157669484615E-3</v>
      </c>
      <c r="BI62" s="140">
        <f t="shared" si="18"/>
        <v>3.4644767336430959E-2</v>
      </c>
      <c r="BJ62" s="140">
        <f t="shared" si="19"/>
        <v>0</v>
      </c>
      <c r="BK62" s="140">
        <f t="shared" si="20"/>
        <v>2.3024330730549991E-3</v>
      </c>
      <c r="BL62" s="140">
        <f t="shared" si="21"/>
        <v>9.7344127134419978E-3</v>
      </c>
      <c r="BM62" s="140">
        <f t="shared" si="22"/>
        <v>2.9827152087818831E-2</v>
      </c>
      <c r="BN62" s="140">
        <f t="shared" si="23"/>
        <v>6.7198830365668982E-3</v>
      </c>
      <c r="BO62" s="140">
        <f t="shared" si="24"/>
        <v>4.4622032437473536E-3</v>
      </c>
      <c r="BP62" s="140">
        <f t="shared" si="25"/>
        <v>9.4354599714279175E-3</v>
      </c>
    </row>
    <row r="63" spans="1:68" ht="15" x14ac:dyDescent="0.25">
      <c r="A63" s="98">
        <v>57</v>
      </c>
      <c r="B63" s="124">
        <v>5</v>
      </c>
      <c r="C63" s="141" t="s">
        <v>459</v>
      </c>
      <c r="D63" s="126">
        <v>4.8275807147029857E-3</v>
      </c>
      <c r="E63" s="128">
        <f t="shared" si="28"/>
        <v>14785173.044180337</v>
      </c>
      <c r="F63" s="126">
        <v>4.8275807147029857E-3</v>
      </c>
      <c r="G63" s="128">
        <f t="shared" si="2"/>
        <v>5694137.6950540356</v>
      </c>
      <c r="H63" s="126">
        <v>4.8275807147029857E-3</v>
      </c>
      <c r="I63" s="128">
        <f t="shared" si="29"/>
        <v>518236.81662443734</v>
      </c>
      <c r="J63" s="126">
        <v>4.8275807147029857E-3</v>
      </c>
      <c r="K63" s="128">
        <f t="shared" si="29"/>
        <v>1377670.498872553</v>
      </c>
      <c r="L63" s="126">
        <v>4.8275807147029857E-3</v>
      </c>
      <c r="M63" s="128">
        <f t="shared" si="30"/>
        <v>41174.218674569602</v>
      </c>
      <c r="N63" s="129" t="s">
        <v>391</v>
      </c>
      <c r="O63" s="128" t="str">
        <f t="shared" si="5"/>
        <v>NA</v>
      </c>
      <c r="P63" s="126">
        <v>4.8275807147029857E-3</v>
      </c>
      <c r="Q63" s="128">
        <f t="shared" si="31"/>
        <v>171774.00664683801</v>
      </c>
      <c r="R63" s="126">
        <v>4.8275807147029857E-3</v>
      </c>
      <c r="S63" s="128">
        <f t="shared" si="32"/>
        <v>195744.9097206892</v>
      </c>
      <c r="T63" s="126">
        <v>4.8275807147029857E-3</v>
      </c>
      <c r="U63" s="128">
        <f t="shared" si="33"/>
        <v>189683.88213337961</v>
      </c>
      <c r="V63" s="126">
        <v>4.8275807147029857E-3</v>
      </c>
      <c r="W63" s="128">
        <f t="shared" si="34"/>
        <v>31084.816359876095</v>
      </c>
      <c r="X63" s="131">
        <v>3.6721396105894233E-3</v>
      </c>
      <c r="Y63" s="128">
        <f t="shared" si="35"/>
        <v>421674.8577205583</v>
      </c>
      <c r="Z63" s="133" t="e">
        <f t="shared" si="11"/>
        <v>#VALUE!</v>
      </c>
      <c r="AA63" s="134">
        <v>5.2622128576144981E-3</v>
      </c>
      <c r="AB63" s="135">
        <f t="shared" si="12"/>
        <v>23426354.745987274</v>
      </c>
      <c r="AD63" s="136">
        <v>23236344</v>
      </c>
      <c r="AE63" s="137">
        <f t="shared" si="13"/>
        <v>-8.1109821842777485E-3</v>
      </c>
      <c r="AP63" s="138" t="s">
        <v>195</v>
      </c>
      <c r="AQ63">
        <v>14785173.049999999</v>
      </c>
      <c r="AR63">
        <v>5694137.6999999993</v>
      </c>
      <c r="AS63">
        <v>518236.82999999996</v>
      </c>
      <c r="AT63">
        <v>1377670.52</v>
      </c>
      <c r="AU63">
        <v>41174.18</v>
      </c>
      <c r="AV63"/>
      <c r="AW63">
        <v>171774</v>
      </c>
      <c r="AX63">
        <v>195744.90000000005</v>
      </c>
      <c r="AY63">
        <v>189683.88999999996</v>
      </c>
      <c r="AZ63">
        <v>31084.819999999996</v>
      </c>
      <c r="BA63">
        <v>421674.86000000004</v>
      </c>
      <c r="BB63">
        <v>23426354.749999993</v>
      </c>
      <c r="BD63" s="138" t="s">
        <v>195</v>
      </c>
      <c r="BE63" s="139">
        <f t="shared" si="14"/>
        <v>-5.8196615427732468E-3</v>
      </c>
      <c r="BF63" s="140">
        <f t="shared" si="15"/>
        <v>4.9459636211395264E-3</v>
      </c>
      <c r="BG63" s="140">
        <f t="shared" si="16"/>
        <v>-1.3375562615692616E-2</v>
      </c>
      <c r="BH63" s="140">
        <f t="shared" si="17"/>
        <v>-2.112744702026248E-2</v>
      </c>
      <c r="BI63" s="140">
        <f t="shared" si="18"/>
        <v>3.8674569601425901E-2</v>
      </c>
      <c r="BJ63" s="140">
        <f t="shared" si="19"/>
        <v>0</v>
      </c>
      <c r="BK63" s="140">
        <f t="shared" si="20"/>
        <v>6.6468380100559443E-3</v>
      </c>
      <c r="BL63" s="140">
        <f t="shared" si="21"/>
        <v>9.7206891514360905E-3</v>
      </c>
      <c r="BM63" s="140">
        <f t="shared" si="22"/>
        <v>7.8666203480679542E-3</v>
      </c>
      <c r="BN63" s="140">
        <f t="shared" si="23"/>
        <v>-3.6401239012775477E-3</v>
      </c>
      <c r="BO63" s="140">
        <f t="shared" si="24"/>
        <v>-2.2794417454861104E-3</v>
      </c>
      <c r="BP63" s="140">
        <f t="shared" si="25"/>
        <v>-4.0127187967300415E-3</v>
      </c>
    </row>
    <row r="64" spans="1:68" ht="15" x14ac:dyDescent="0.25">
      <c r="A64" s="98">
        <v>58</v>
      </c>
      <c r="B64" s="124">
        <v>6</v>
      </c>
      <c r="C64" s="141" t="s">
        <v>460</v>
      </c>
      <c r="D64" s="126">
        <v>1.019197374226203E-2</v>
      </c>
      <c r="E64" s="128">
        <f t="shared" si="28"/>
        <v>31214412.424455442</v>
      </c>
      <c r="F64" s="126">
        <v>1.019197374226203E-2</v>
      </c>
      <c r="G64" s="128">
        <f t="shared" si="2"/>
        <v>12021446.207220113</v>
      </c>
      <c r="H64" s="126">
        <v>1.019197374226203E-2</v>
      </c>
      <c r="I64" s="128">
        <f t="shared" si="29"/>
        <v>1094099.9932374391</v>
      </c>
      <c r="J64" s="126">
        <v>1.019197374226203E-2</v>
      </c>
      <c r="K64" s="128">
        <f t="shared" si="29"/>
        <v>2908533.7728759171</v>
      </c>
      <c r="L64" s="126">
        <v>1.019197374226203E-2</v>
      </c>
      <c r="M64" s="128">
        <f t="shared" si="30"/>
        <v>86926.885408934453</v>
      </c>
      <c r="N64" s="129" t="s">
        <v>391</v>
      </c>
      <c r="O64" s="128" t="str">
        <f t="shared" si="5"/>
        <v>NA</v>
      </c>
      <c r="P64" s="126">
        <v>1.019197374226203E-2</v>
      </c>
      <c r="Q64" s="128">
        <f t="shared" si="31"/>
        <v>362648.76111044543</v>
      </c>
      <c r="R64" s="126">
        <v>1.019197374226203E-2</v>
      </c>
      <c r="S64" s="128">
        <f t="shared" si="32"/>
        <v>413256.05887408945</v>
      </c>
      <c r="T64" s="126">
        <v>1.019197374226203E-2</v>
      </c>
      <c r="U64" s="128">
        <f t="shared" si="33"/>
        <v>400460.03584067943</v>
      </c>
      <c r="V64" s="126">
        <v>1.019197374226203E-2</v>
      </c>
      <c r="W64" s="128">
        <f t="shared" si="34"/>
        <v>65626.169886293908</v>
      </c>
      <c r="X64" s="131">
        <v>1.2822490939226806E-2</v>
      </c>
      <c r="Y64" s="128">
        <f t="shared" si="35"/>
        <v>1472417.3413313485</v>
      </c>
      <c r="Z64" s="133" t="e">
        <f t="shared" si="11"/>
        <v>#VALUE!</v>
      </c>
      <c r="AA64" s="134">
        <v>1.0831414535844439E-2</v>
      </c>
      <c r="AB64" s="135">
        <f t="shared" si="12"/>
        <v>50039827.650240712</v>
      </c>
      <c r="AD64" s="142">
        <v>49638677</v>
      </c>
      <c r="AE64" s="137">
        <f t="shared" si="13"/>
        <v>-8.0166273362211049E-3</v>
      </c>
      <c r="AP64" s="138" t="s">
        <v>196</v>
      </c>
      <c r="AQ64">
        <v>31214412.420000002</v>
      </c>
      <c r="AR64">
        <v>12021446.210000001</v>
      </c>
      <c r="AS64">
        <v>1094100.01</v>
      </c>
      <c r="AT64">
        <v>2908533.7899999991</v>
      </c>
      <c r="AU64">
        <v>86926.84</v>
      </c>
      <c r="AV64"/>
      <c r="AW64">
        <v>362648.75999999995</v>
      </c>
      <c r="AX64">
        <v>413256.05000000005</v>
      </c>
      <c r="AY64">
        <v>400460.05000000005</v>
      </c>
      <c r="AZ64">
        <v>65626.180000000008</v>
      </c>
      <c r="BA64">
        <v>1472417.35</v>
      </c>
      <c r="BB64">
        <v>50039827.659999996</v>
      </c>
      <c r="BD64" s="138" t="s">
        <v>196</v>
      </c>
      <c r="BE64" s="139">
        <f t="shared" si="14"/>
        <v>4.4554397463798523E-3</v>
      </c>
      <c r="BF64" s="140">
        <f t="shared" si="15"/>
        <v>2.7798879891633987E-3</v>
      </c>
      <c r="BG64" s="140">
        <f t="shared" si="16"/>
        <v>-1.6762560931965709E-2</v>
      </c>
      <c r="BH64" s="140">
        <f t="shared" si="17"/>
        <v>-1.7124081961810589E-2</v>
      </c>
      <c r="BI64" s="140">
        <f t="shared" si="18"/>
        <v>4.5408934456645511E-2</v>
      </c>
      <c r="BJ64" s="140">
        <f t="shared" si="19"/>
        <v>0</v>
      </c>
      <c r="BK64" s="140">
        <f t="shared" si="20"/>
        <v>1.1104454752057791E-3</v>
      </c>
      <c r="BL64" s="140">
        <f t="shared" si="21"/>
        <v>8.8740893988870084E-3</v>
      </c>
      <c r="BM64" s="140">
        <f t="shared" si="22"/>
        <v>1.4159320620819926E-2</v>
      </c>
      <c r="BN64" s="140">
        <f t="shared" si="23"/>
        <v>-1.0113706099218689E-2</v>
      </c>
      <c r="BO64" s="140">
        <f t="shared" si="24"/>
        <v>-8.6686515714973211E-3</v>
      </c>
      <c r="BP64" s="140">
        <f t="shared" si="25"/>
        <v>-9.7592845559120178E-3</v>
      </c>
    </row>
    <row r="65" spans="1:68" ht="15" x14ac:dyDescent="0.25">
      <c r="A65" s="98">
        <v>59</v>
      </c>
      <c r="B65" s="124">
        <v>2</v>
      </c>
      <c r="C65" s="143" t="s">
        <v>461</v>
      </c>
      <c r="D65" s="126">
        <v>2.4467148404639233E-2</v>
      </c>
      <c r="E65" s="128">
        <f t="shared" si="28"/>
        <v>74934225.741368771</v>
      </c>
      <c r="F65" s="126">
        <v>2.4467148404639233E-2</v>
      </c>
      <c r="G65" s="128">
        <f t="shared" si="2"/>
        <v>28859033.179294862</v>
      </c>
      <c r="H65" s="126">
        <v>2.4467148404639233E-2</v>
      </c>
      <c r="I65" s="128">
        <f t="shared" si="29"/>
        <v>2626528.2447748845</v>
      </c>
      <c r="J65" s="126">
        <v>2.4467148404639233E-2</v>
      </c>
      <c r="K65" s="128">
        <f t="shared" si="29"/>
        <v>6982310.7143392358</v>
      </c>
      <c r="L65" s="126">
        <v>2.4467148404639233E-2</v>
      </c>
      <c r="M65" s="128">
        <f t="shared" si="30"/>
        <v>208679.2077214898</v>
      </c>
      <c r="N65" s="129">
        <v>0.10000000080581592</v>
      </c>
      <c r="O65" s="128">
        <f t="shared" si="5"/>
        <v>24819563.999999996</v>
      </c>
      <c r="P65" s="126">
        <v>2.4467148404639233E-2</v>
      </c>
      <c r="Q65" s="128">
        <f t="shared" si="31"/>
        <v>870585.15663704404</v>
      </c>
      <c r="R65" s="126">
        <v>2.4467148404639233E-2</v>
      </c>
      <c r="S65" s="128">
        <f t="shared" si="32"/>
        <v>992074.50659547828</v>
      </c>
      <c r="T65" s="126">
        <v>2.4467148404639233E-2</v>
      </c>
      <c r="U65" s="128">
        <f t="shared" si="33"/>
        <v>961356.00177345378</v>
      </c>
      <c r="V65" s="126">
        <v>2.4467148404639233E-2</v>
      </c>
      <c r="W65" s="128">
        <f t="shared" si="34"/>
        <v>157544.09091321402</v>
      </c>
      <c r="X65" s="131">
        <v>2.7360779898794721E-2</v>
      </c>
      <c r="Y65" s="128">
        <f t="shared" si="35"/>
        <v>3141861.2020298131</v>
      </c>
      <c r="Z65" s="133">
        <f t="shared" si="11"/>
        <v>143525632.79789799</v>
      </c>
      <c r="AA65" s="134">
        <v>2.365564345301379E-2</v>
      </c>
      <c r="AB65" s="135">
        <f t="shared" si="12"/>
        <v>144553762.04544824</v>
      </c>
      <c r="AD65" s="136">
        <v>143590745</v>
      </c>
      <c r="AE65" s="137">
        <f t="shared" si="13"/>
        <v>-6.6619991885473739E-3</v>
      </c>
      <c r="AP65" s="138" t="s">
        <v>197</v>
      </c>
      <c r="AQ65">
        <v>74934225.74000001</v>
      </c>
      <c r="AR65">
        <v>28859033.18</v>
      </c>
      <c r="AS65">
        <v>2626528.25</v>
      </c>
      <c r="AT65">
        <v>6982310.71</v>
      </c>
      <c r="AU65">
        <v>208679.22999999995</v>
      </c>
      <c r="AV65">
        <v>24819564.02</v>
      </c>
      <c r="AW65">
        <v>870585.15</v>
      </c>
      <c r="AX65">
        <v>992074.50999999989</v>
      </c>
      <c r="AY65">
        <v>961356.01</v>
      </c>
      <c r="AZ65">
        <v>157544.09</v>
      </c>
      <c r="BA65">
        <v>3141861.1999999997</v>
      </c>
      <c r="BB65">
        <v>144553762.09</v>
      </c>
      <c r="BD65" s="138" t="s">
        <v>197</v>
      </c>
      <c r="BE65" s="139">
        <f t="shared" si="14"/>
        <v>1.3687610626220703E-3</v>
      </c>
      <c r="BF65" s="140">
        <f t="shared" si="15"/>
        <v>7.0513784885406494E-4</v>
      </c>
      <c r="BG65" s="140">
        <f t="shared" si="16"/>
        <v>-5.2251154556870461E-3</v>
      </c>
      <c r="BH65" s="140">
        <f t="shared" si="17"/>
        <v>4.3392358347773552E-3</v>
      </c>
      <c r="BI65" s="140">
        <f t="shared" si="18"/>
        <v>-2.2278510150499642E-2</v>
      </c>
      <c r="BJ65" s="140">
        <f t="shared" si="19"/>
        <v>-2.0000003278255463E-2</v>
      </c>
      <c r="BK65" s="140">
        <f t="shared" si="20"/>
        <v>6.6370440181344748E-3</v>
      </c>
      <c r="BL65" s="140">
        <f t="shared" si="21"/>
        <v>-3.4045216161757708E-3</v>
      </c>
      <c r="BM65" s="140">
        <f t="shared" si="22"/>
        <v>8.2265462260693312E-3</v>
      </c>
      <c r="BN65" s="140">
        <f t="shared" si="23"/>
        <v>9.1321402578614652E-4</v>
      </c>
      <c r="BO65" s="140">
        <f t="shared" si="24"/>
        <v>2.0298133604228497E-3</v>
      </c>
      <c r="BP65" s="140">
        <f t="shared" si="25"/>
        <v>-4.4551759958267212E-2</v>
      </c>
    </row>
    <row r="66" spans="1:68" ht="15" x14ac:dyDescent="0.25">
      <c r="A66" s="98">
        <v>60</v>
      </c>
      <c r="B66" s="124">
        <v>6</v>
      </c>
      <c r="C66" s="141" t="s">
        <v>462</v>
      </c>
      <c r="D66" s="126">
        <v>2.8325314298686143E-3</v>
      </c>
      <c r="E66" s="128">
        <f t="shared" si="28"/>
        <v>8675042.3905162271</v>
      </c>
      <c r="F66" s="126">
        <v>2.8325314298686143E-3</v>
      </c>
      <c r="G66" s="128">
        <f t="shared" si="2"/>
        <v>3340974.4839931694</v>
      </c>
      <c r="H66" s="126">
        <v>2.8325314298686143E-3</v>
      </c>
      <c r="I66" s="128">
        <f t="shared" si="29"/>
        <v>304069.91782302898</v>
      </c>
      <c r="J66" s="126">
        <v>2.8325314298686143E-3</v>
      </c>
      <c r="K66" s="128">
        <f t="shared" si="29"/>
        <v>808333.45285649283</v>
      </c>
      <c r="L66" s="126">
        <v>2.8325314298686143E-3</v>
      </c>
      <c r="M66" s="128">
        <f t="shared" si="30"/>
        <v>24158.533101435067</v>
      </c>
      <c r="N66" s="129" t="s">
        <v>391</v>
      </c>
      <c r="O66" s="128" t="str">
        <f t="shared" si="5"/>
        <v>NA</v>
      </c>
      <c r="P66" s="126">
        <v>2.8325314298686143E-3</v>
      </c>
      <c r="Q66" s="128">
        <f t="shared" si="31"/>
        <v>100786.56399876765</v>
      </c>
      <c r="R66" s="126">
        <v>2.8325314298686143E-3</v>
      </c>
      <c r="S66" s="128">
        <f t="shared" si="32"/>
        <v>114851.23538835727</v>
      </c>
      <c r="T66" s="126">
        <v>2.8325314298686143E-3</v>
      </c>
      <c r="U66" s="128">
        <f t="shared" si="33"/>
        <v>111294.99217815722</v>
      </c>
      <c r="V66" s="126">
        <v>2.8325314298686143E-3</v>
      </c>
      <c r="W66" s="128">
        <f t="shared" si="34"/>
        <v>18238.684039581156</v>
      </c>
      <c r="X66" s="131">
        <v>4.8351552466682573E-4</v>
      </c>
      <c r="Y66" s="128">
        <f t="shared" si="35"/>
        <v>55522.491432954695</v>
      </c>
      <c r="Z66" s="133" t="e">
        <f t="shared" si="11"/>
        <v>#VALUE!</v>
      </c>
      <c r="AA66" s="134">
        <v>3.127669606564798E-3</v>
      </c>
      <c r="AB66" s="135">
        <f t="shared" si="12"/>
        <v>13553272.745328173</v>
      </c>
      <c r="AD66" s="142">
        <v>13441786</v>
      </c>
      <c r="AE66" s="137">
        <f t="shared" si="13"/>
        <v>-8.2258172932144769E-3</v>
      </c>
      <c r="AP66" s="138" t="s">
        <v>198</v>
      </c>
      <c r="AQ66">
        <v>8675042.3999999985</v>
      </c>
      <c r="AR66">
        <v>3340974.4800000004</v>
      </c>
      <c r="AS66">
        <v>304069.92</v>
      </c>
      <c r="AT66">
        <v>808333.46</v>
      </c>
      <c r="AU66">
        <v>24158.529999999995</v>
      </c>
      <c r="AV66"/>
      <c r="AW66">
        <v>100786.58</v>
      </c>
      <c r="AX66">
        <v>114851.24</v>
      </c>
      <c r="AY66">
        <v>111295</v>
      </c>
      <c r="AZ66">
        <v>18238.68</v>
      </c>
      <c r="BA66">
        <v>55522.5</v>
      </c>
      <c r="BB66">
        <v>13553272.789999999</v>
      </c>
      <c r="BD66" s="138" t="s">
        <v>198</v>
      </c>
      <c r="BE66" s="139">
        <f t="shared" si="14"/>
        <v>-9.4837713986635208E-3</v>
      </c>
      <c r="BF66" s="140">
        <f t="shared" si="15"/>
        <v>-3.9931689389050007E-3</v>
      </c>
      <c r="BG66" s="140">
        <f t="shared" si="16"/>
        <v>-2.1769710001535714E-3</v>
      </c>
      <c r="BH66" s="140">
        <f t="shared" si="17"/>
        <v>-7.1435071295127273E-3</v>
      </c>
      <c r="BI66" s="140">
        <f t="shared" si="18"/>
        <v>3.1014350715850014E-3</v>
      </c>
      <c r="BJ66" s="140">
        <f t="shared" si="19"/>
        <v>0</v>
      </c>
      <c r="BK66" s="140">
        <f t="shared" si="20"/>
        <v>-1.6001232346752658E-2</v>
      </c>
      <c r="BL66" s="140">
        <f t="shared" si="21"/>
        <v>-4.611642740201205E-3</v>
      </c>
      <c r="BM66" s="140">
        <f t="shared" si="22"/>
        <v>7.8218427806859836E-3</v>
      </c>
      <c r="BN66" s="140">
        <f t="shared" si="23"/>
        <v>4.039581155666383E-3</v>
      </c>
      <c r="BO66" s="140">
        <f t="shared" si="24"/>
        <v>-8.567045304516796E-3</v>
      </c>
      <c r="BP66" s="140">
        <f t="shared" si="25"/>
        <v>-4.4671826064586639E-2</v>
      </c>
    </row>
    <row r="67" spans="1:68" ht="15" x14ac:dyDescent="0.25">
      <c r="A67" s="98">
        <v>61</v>
      </c>
      <c r="B67" s="124">
        <v>5</v>
      </c>
      <c r="C67" s="141" t="s">
        <v>463</v>
      </c>
      <c r="D67" s="126">
        <v>3.7168623980903346E-3</v>
      </c>
      <c r="E67" s="128">
        <f t="shared" si="28"/>
        <v>11383435.510420823</v>
      </c>
      <c r="F67" s="126">
        <v>3.7168623980903346E-3</v>
      </c>
      <c r="G67" s="128">
        <f t="shared" si="2"/>
        <v>4384044.0044506304</v>
      </c>
      <c r="H67" s="126">
        <v>3.7168623980903346E-3</v>
      </c>
      <c r="I67" s="128">
        <f t="shared" si="29"/>
        <v>399002.11945724377</v>
      </c>
      <c r="J67" s="126">
        <v>3.7168623980903346E-3</v>
      </c>
      <c r="K67" s="128">
        <f t="shared" si="29"/>
        <v>1060699.3392409366</v>
      </c>
      <c r="L67" s="126">
        <v>3.7168623980903346E-3</v>
      </c>
      <c r="M67" s="128">
        <f t="shared" si="30"/>
        <v>31700.95213450455</v>
      </c>
      <c r="N67" s="129" t="s">
        <v>391</v>
      </c>
      <c r="O67" s="128" t="str">
        <f t="shared" si="5"/>
        <v>NA</v>
      </c>
      <c r="P67" s="126">
        <v>3.7168623980903346E-3</v>
      </c>
      <c r="Q67" s="128">
        <f t="shared" si="31"/>
        <v>132252.65075950831</v>
      </c>
      <c r="R67" s="126">
        <v>3.7168623980903346E-3</v>
      </c>
      <c r="S67" s="128">
        <f t="shared" si="32"/>
        <v>150708.3853290228</v>
      </c>
      <c r="T67" s="126">
        <v>3.7168623980903346E-3</v>
      </c>
      <c r="U67" s="128">
        <f t="shared" si="33"/>
        <v>146041.8645882204</v>
      </c>
      <c r="V67" s="126">
        <v>3.7168623980903346E-3</v>
      </c>
      <c r="W67" s="128">
        <f t="shared" si="34"/>
        <v>23932.89556561565</v>
      </c>
      <c r="X67" s="131">
        <v>1.9066910472896425E-3</v>
      </c>
      <c r="Y67" s="128">
        <f t="shared" si="35"/>
        <v>218946.92504729415</v>
      </c>
      <c r="Z67" s="133" t="e">
        <f t="shared" si="11"/>
        <v>#VALUE!</v>
      </c>
      <c r="AA67" s="134">
        <v>3.8781908398874717E-3</v>
      </c>
      <c r="AB67" s="135">
        <f t="shared" si="12"/>
        <v>17930764.646993794</v>
      </c>
      <c r="AD67" s="136">
        <v>17784471</v>
      </c>
      <c r="AE67" s="137">
        <f t="shared" si="13"/>
        <v>-8.1588069373450534E-3</v>
      </c>
      <c r="AP67" s="138" t="s">
        <v>464</v>
      </c>
      <c r="AQ67">
        <v>11383435.5</v>
      </c>
      <c r="AR67">
        <v>4384043.99</v>
      </c>
      <c r="AS67">
        <v>399002.14000000007</v>
      </c>
      <c r="AT67">
        <v>1060699.3499999999</v>
      </c>
      <c r="AU67">
        <v>31701.010000000002</v>
      </c>
      <c r="AV67"/>
      <c r="AW67">
        <v>132252.65</v>
      </c>
      <c r="AX67">
        <v>150708.37</v>
      </c>
      <c r="AY67">
        <v>146041.87</v>
      </c>
      <c r="AZ67">
        <v>23932.9</v>
      </c>
      <c r="BA67">
        <v>218946.94</v>
      </c>
      <c r="BB67">
        <v>17930764.720000003</v>
      </c>
      <c r="BD67" s="138" t="s">
        <v>464</v>
      </c>
      <c r="BE67" s="139">
        <f t="shared" si="14"/>
        <v>1.0420823469758034E-2</v>
      </c>
      <c r="BF67" s="140">
        <f t="shared" si="15"/>
        <v>-1.445063017308712E-2</v>
      </c>
      <c r="BG67" s="140">
        <f t="shared" si="16"/>
        <v>-2.0542756305076182E-2</v>
      </c>
      <c r="BH67" s="140">
        <f t="shared" si="17"/>
        <v>-1.0759063297882676E-2</v>
      </c>
      <c r="BI67" s="140">
        <f t="shared" si="18"/>
        <v>-5.7865495451551396E-2</v>
      </c>
      <c r="BJ67" s="140">
        <f t="shared" si="19"/>
        <v>0</v>
      </c>
      <c r="BK67" s="140">
        <f t="shared" si="20"/>
        <v>7.5950831524096429E-4</v>
      </c>
      <c r="BL67" s="140">
        <f t="shared" si="21"/>
        <v>1.5329022804507986E-2</v>
      </c>
      <c r="BM67" s="140">
        <f t="shared" si="22"/>
        <v>5.4117795953061432E-3</v>
      </c>
      <c r="BN67" s="140">
        <f t="shared" si="23"/>
        <v>-4.4343843510432635E-3</v>
      </c>
      <c r="BO67" s="140">
        <f t="shared" si="24"/>
        <v>-1.4952705852920189E-2</v>
      </c>
      <c r="BP67" s="140">
        <f t="shared" si="25"/>
        <v>-7.300620898604393E-2</v>
      </c>
    </row>
    <row r="68" spans="1:68" ht="15" x14ac:dyDescent="0.25">
      <c r="A68" s="98">
        <v>62</v>
      </c>
      <c r="B68" s="124">
        <v>7</v>
      </c>
      <c r="C68" s="141" t="s">
        <v>465</v>
      </c>
      <c r="D68" s="126">
        <v>3.9958477968843956E-3</v>
      </c>
      <c r="E68" s="128">
        <f t="shared" si="28"/>
        <v>12237869.157776967</v>
      </c>
      <c r="F68" s="126">
        <v>3.9958477968843956E-3</v>
      </c>
      <c r="G68" s="128">
        <f t="shared" si="2"/>
        <v>4713107.6430563461</v>
      </c>
      <c r="H68" s="126">
        <v>3.9958477968843956E-3</v>
      </c>
      <c r="I68" s="128">
        <f t="shared" si="29"/>
        <v>428950.97241280304</v>
      </c>
      <c r="J68" s="126">
        <v>3.9958477968843956E-3</v>
      </c>
      <c r="K68" s="128">
        <f t="shared" si="29"/>
        <v>1140314.7773348431</v>
      </c>
      <c r="L68" s="126">
        <v>3.9958477968843956E-3</v>
      </c>
      <c r="M68" s="128">
        <f t="shared" si="30"/>
        <v>34080.40604647615</v>
      </c>
      <c r="N68" s="129" t="s">
        <v>391</v>
      </c>
      <c r="O68" s="128" t="str">
        <f t="shared" si="5"/>
        <v>NA</v>
      </c>
      <c r="P68" s="126">
        <v>3.9958477968843956E-3</v>
      </c>
      <c r="Q68" s="128">
        <f t="shared" si="31"/>
        <v>142179.45314333341</v>
      </c>
      <c r="R68" s="126">
        <v>3.9958477968843956E-3</v>
      </c>
      <c r="S68" s="128">
        <f t="shared" si="32"/>
        <v>162020.46376491775</v>
      </c>
      <c r="T68" s="126">
        <v>3.9958477968843956E-3</v>
      </c>
      <c r="U68" s="128">
        <f t="shared" si="33"/>
        <v>157003.6768559294</v>
      </c>
      <c r="V68" s="126">
        <v>3.9958477968843956E-3</v>
      </c>
      <c r="W68" s="128">
        <f t="shared" si="34"/>
        <v>25729.283943377603</v>
      </c>
      <c r="X68" s="131">
        <v>2.4112056149526813E-3</v>
      </c>
      <c r="Y68" s="128">
        <f t="shared" si="35"/>
        <v>276880.7541217049</v>
      </c>
      <c r="Z68" s="133" t="e">
        <f t="shared" si="11"/>
        <v>#VALUE!</v>
      </c>
      <c r="AA68" s="134">
        <v>4.2831570698813872E-3</v>
      </c>
      <c r="AB68" s="135">
        <f t="shared" si="12"/>
        <v>19318136.588456698</v>
      </c>
      <c r="AD68" s="142">
        <v>19160861</v>
      </c>
      <c r="AE68" s="137">
        <f t="shared" si="13"/>
        <v>-8.1413436402906214E-3</v>
      </c>
      <c r="AP68" s="138" t="s">
        <v>199</v>
      </c>
      <c r="AQ68">
        <v>12237869.16</v>
      </c>
      <c r="AR68">
        <v>4713107.6399999997</v>
      </c>
      <c r="AS68">
        <v>428950.95</v>
      </c>
      <c r="AT68">
        <v>1140314.7600000002</v>
      </c>
      <c r="AU68">
        <v>34080.369999999995</v>
      </c>
      <c r="AV68"/>
      <c r="AW68">
        <v>142179.46000000002</v>
      </c>
      <c r="AX68">
        <v>162020.46999999997</v>
      </c>
      <c r="AY68">
        <v>157003.66999999998</v>
      </c>
      <c r="AZ68">
        <v>25729.27</v>
      </c>
      <c r="BA68">
        <v>276880.75999999995</v>
      </c>
      <c r="BB68">
        <v>19318136.510000002</v>
      </c>
      <c r="BD68" s="138" t="s">
        <v>199</v>
      </c>
      <c r="BE68" s="139">
        <f t="shared" si="14"/>
        <v>-2.2230334579944611E-3</v>
      </c>
      <c r="BF68" s="140">
        <f t="shared" si="15"/>
        <v>-3.0563464388251305E-3</v>
      </c>
      <c r="BG68" s="140">
        <f t="shared" si="16"/>
        <v>2.2412803024053574E-2</v>
      </c>
      <c r="BH68" s="140">
        <f t="shared" si="17"/>
        <v>1.7334842821583152E-2</v>
      </c>
      <c r="BI68" s="140">
        <f t="shared" si="18"/>
        <v>3.6046476154297125E-2</v>
      </c>
      <c r="BJ68" s="140">
        <f t="shared" si="19"/>
        <v>0</v>
      </c>
      <c r="BK68" s="140">
        <f t="shared" si="20"/>
        <v>-6.8566666159313172E-3</v>
      </c>
      <c r="BL68" s="140">
        <f t="shared" si="21"/>
        <v>-6.2350822263397276E-3</v>
      </c>
      <c r="BM68" s="140">
        <f t="shared" si="22"/>
        <v>-6.8559294159058481E-3</v>
      </c>
      <c r="BN68" s="140">
        <f t="shared" si="23"/>
        <v>1.3943377602117835E-2</v>
      </c>
      <c r="BO68" s="140">
        <f t="shared" si="24"/>
        <v>-5.8782950509339571E-3</v>
      </c>
      <c r="BP68" s="140">
        <f t="shared" si="25"/>
        <v>7.845669612288475E-2</v>
      </c>
    </row>
    <row r="69" spans="1:68" ht="15" x14ac:dyDescent="0.25">
      <c r="A69" s="98">
        <v>63</v>
      </c>
      <c r="B69" s="124">
        <v>1</v>
      </c>
      <c r="C69" s="141" t="s">
        <v>466</v>
      </c>
      <c r="D69" s="126">
        <v>4.1910588863807085E-3</v>
      </c>
      <c r="E69" s="128">
        <f t="shared" si="28"/>
        <v>12835731.712318126</v>
      </c>
      <c r="F69" s="126">
        <v>4.1910588863807085E-3</v>
      </c>
      <c r="G69" s="128">
        <f t="shared" si="2"/>
        <v>4943359.3755251858</v>
      </c>
      <c r="H69" s="126">
        <v>4.1910588863807085E-3</v>
      </c>
      <c r="I69" s="128">
        <f t="shared" si="29"/>
        <v>449906.72221150558</v>
      </c>
      <c r="J69" s="126">
        <v>4.1910588863807085E-3</v>
      </c>
      <c r="K69" s="128">
        <f t="shared" si="29"/>
        <v>1196023.1279446548</v>
      </c>
      <c r="L69" s="126">
        <v>4.1910588863807085E-3</v>
      </c>
      <c r="M69" s="128">
        <f t="shared" si="30"/>
        <v>35745.352644291175</v>
      </c>
      <c r="N69" s="129" t="s">
        <v>391</v>
      </c>
      <c r="O69" s="128" t="str">
        <f t="shared" si="5"/>
        <v>NA</v>
      </c>
      <c r="P69" s="126">
        <v>4.1910588863807085E-3</v>
      </c>
      <c r="Q69" s="128">
        <f t="shared" si="31"/>
        <v>149125.41489236223</v>
      </c>
      <c r="R69" s="126">
        <v>4.1910588863807085E-3</v>
      </c>
      <c r="S69" s="128">
        <f t="shared" si="32"/>
        <v>169935.72802420918</v>
      </c>
      <c r="T69" s="126">
        <v>4.1910588863807085E-3</v>
      </c>
      <c r="U69" s="128">
        <f t="shared" si="33"/>
        <v>164673.85359235821</v>
      </c>
      <c r="V69" s="126">
        <v>4.1910588863807085E-3</v>
      </c>
      <c r="W69" s="128">
        <f t="shared" si="34"/>
        <v>26986.249124699811</v>
      </c>
      <c r="X69" s="131">
        <v>2.7464470588356789E-3</v>
      </c>
      <c r="Y69" s="128">
        <f t="shared" si="35"/>
        <v>315376.80904939515</v>
      </c>
      <c r="Z69" s="133" t="e">
        <f t="shared" si="11"/>
        <v>#VALUE!</v>
      </c>
      <c r="AA69" s="134">
        <v>4.4298228684448472E-3</v>
      </c>
      <c r="AB69" s="135">
        <f t="shared" si="12"/>
        <v>20286864.345326789</v>
      </c>
      <c r="AD69" s="136">
        <v>20121906</v>
      </c>
      <c r="AE69" s="137">
        <f t="shared" si="13"/>
        <v>-8.1312884297364274E-3</v>
      </c>
      <c r="AP69" s="138" t="s">
        <v>200</v>
      </c>
      <c r="AQ69">
        <v>12835731.709999999</v>
      </c>
      <c r="AR69">
        <v>4943359.38</v>
      </c>
      <c r="AS69">
        <v>449906.71</v>
      </c>
      <c r="AT69">
        <v>1196023.1299999999</v>
      </c>
      <c r="AU69">
        <v>35745.369999999995</v>
      </c>
      <c r="AV69"/>
      <c r="AW69">
        <v>149125.4</v>
      </c>
      <c r="AX69">
        <v>169935.71</v>
      </c>
      <c r="AY69">
        <v>164673.85999999999</v>
      </c>
      <c r="AZ69">
        <v>26986.26</v>
      </c>
      <c r="BA69">
        <v>315376.83</v>
      </c>
      <c r="BB69">
        <v>20286864.359999999</v>
      </c>
      <c r="BD69" s="138" t="s">
        <v>200</v>
      </c>
      <c r="BE69" s="139">
        <f t="shared" si="14"/>
        <v>2.3181270807981491E-3</v>
      </c>
      <c r="BF69" s="140">
        <f t="shared" si="15"/>
        <v>4.4748140498995781E-3</v>
      </c>
      <c r="BG69" s="140">
        <f t="shared" si="16"/>
        <v>1.2211505556479096E-2</v>
      </c>
      <c r="BH69" s="140">
        <f t="shared" si="17"/>
        <v>-2.0553451031446457E-3</v>
      </c>
      <c r="BI69" s="140">
        <f t="shared" si="18"/>
        <v>-1.7355708820105065E-2</v>
      </c>
      <c r="BJ69" s="140">
        <f t="shared" si="19"/>
        <v>0</v>
      </c>
      <c r="BK69" s="140">
        <f t="shared" si="20"/>
        <v>1.4892362232785672E-2</v>
      </c>
      <c r="BL69" s="140">
        <f t="shared" si="21"/>
        <v>1.8024209188297391E-2</v>
      </c>
      <c r="BM69" s="140">
        <f t="shared" si="22"/>
        <v>6.4076417766045779E-3</v>
      </c>
      <c r="BN69" s="140">
        <f t="shared" si="23"/>
        <v>-1.087530018776306E-2</v>
      </c>
      <c r="BO69" s="140">
        <f t="shared" si="24"/>
        <v>-2.0950604870449752E-2</v>
      </c>
      <c r="BP69" s="140">
        <f t="shared" si="25"/>
        <v>-1.4673210680484772E-2</v>
      </c>
    </row>
    <row r="70" spans="1:68" ht="15" x14ac:dyDescent="0.25">
      <c r="A70" s="98">
        <v>64</v>
      </c>
      <c r="B70" s="124">
        <v>3</v>
      </c>
      <c r="C70" s="141" t="s">
        <v>467</v>
      </c>
      <c r="D70" s="126">
        <v>3.0424097464068615E-3</v>
      </c>
      <c r="E70" s="128">
        <f t="shared" si="28"/>
        <v>9317825.4762113895</v>
      </c>
      <c r="F70" s="126">
        <v>3.0424097464068615E-3</v>
      </c>
      <c r="G70" s="128">
        <f t="shared" si="2"/>
        <v>3588526.2297226954</v>
      </c>
      <c r="H70" s="126">
        <v>3.0424097464068615E-3</v>
      </c>
      <c r="I70" s="128">
        <f t="shared" si="29"/>
        <v>326600.18237355526</v>
      </c>
      <c r="J70" s="126">
        <v>3.0424097464068615E-3</v>
      </c>
      <c r="K70" s="128">
        <f t="shared" si="29"/>
        <v>868227.46232735633</v>
      </c>
      <c r="L70" s="126">
        <v>3.0424097464068615E-3</v>
      </c>
      <c r="M70" s="128">
        <f t="shared" si="30"/>
        <v>25948.575818665533</v>
      </c>
      <c r="N70" s="129" t="s">
        <v>391</v>
      </c>
      <c r="O70" s="128" t="str">
        <f t="shared" si="5"/>
        <v>NA</v>
      </c>
      <c r="P70" s="126">
        <v>3.0424097464068615E-3</v>
      </c>
      <c r="Q70" s="128">
        <f t="shared" si="31"/>
        <v>108254.41207228994</v>
      </c>
      <c r="R70" s="126">
        <v>3.0424097464068615E-3</v>
      </c>
      <c r="S70" s="128">
        <f t="shared" si="32"/>
        <v>123361.21472396677</v>
      </c>
      <c r="T70" s="126">
        <v>3.0424097464068615E-3</v>
      </c>
      <c r="U70" s="128">
        <f t="shared" si="33"/>
        <v>119541.46928735296</v>
      </c>
      <c r="V70" s="126">
        <v>3.0424097464068615E-3</v>
      </c>
      <c r="W70" s="128">
        <f t="shared" si="34"/>
        <v>19590.091569162509</v>
      </c>
      <c r="X70" s="131">
        <v>8.2719555031617173E-4</v>
      </c>
      <c r="Y70" s="128">
        <f t="shared" si="35"/>
        <v>94987.55575109052</v>
      </c>
      <c r="Z70" s="133" t="e">
        <f t="shared" si="11"/>
        <v>#VALUE!</v>
      </c>
      <c r="AA70" s="134">
        <v>3.3111449109738665E-3</v>
      </c>
      <c r="AB70" s="135">
        <f t="shared" si="12"/>
        <v>14592862.669857524</v>
      </c>
      <c r="AD70" s="142">
        <v>14473115</v>
      </c>
      <c r="AE70" s="137">
        <f t="shared" si="13"/>
        <v>-8.2059067207471692E-3</v>
      </c>
      <c r="AP70" s="138" t="s">
        <v>201</v>
      </c>
      <c r="AQ70">
        <v>9317825.4699999988</v>
      </c>
      <c r="AR70">
        <v>3588526.23</v>
      </c>
      <c r="AS70">
        <v>326600.19</v>
      </c>
      <c r="AT70">
        <v>868227.49999999988</v>
      </c>
      <c r="AU70">
        <v>25948.570000000007</v>
      </c>
      <c r="AV70"/>
      <c r="AW70">
        <v>108254.43</v>
      </c>
      <c r="AX70">
        <v>123361.19</v>
      </c>
      <c r="AY70">
        <v>119541.48000000001</v>
      </c>
      <c r="AZ70">
        <v>19590.11</v>
      </c>
      <c r="BA70">
        <v>94987.55</v>
      </c>
      <c r="BB70">
        <v>14592862.719999999</v>
      </c>
      <c r="BD70" s="138" t="s">
        <v>201</v>
      </c>
      <c r="BE70" s="139">
        <f t="shared" si="14"/>
        <v>6.2113907188177109E-3</v>
      </c>
      <c r="BF70" s="140">
        <f t="shared" si="15"/>
        <v>2.7730455622076988E-4</v>
      </c>
      <c r="BG70" s="140">
        <f t="shared" si="16"/>
        <v>-7.6264447416178882E-3</v>
      </c>
      <c r="BH70" s="140">
        <f t="shared" si="17"/>
        <v>-3.7672643549740314E-2</v>
      </c>
      <c r="BI70" s="140">
        <f t="shared" si="18"/>
        <v>5.8186655260215048E-3</v>
      </c>
      <c r="BJ70" s="140">
        <f t="shared" si="19"/>
        <v>0</v>
      </c>
      <c r="BK70" s="140">
        <f t="shared" si="20"/>
        <v>-1.7927710054209456E-2</v>
      </c>
      <c r="BL70" s="140">
        <f t="shared" si="21"/>
        <v>2.472396676603239E-2</v>
      </c>
      <c r="BM70" s="140">
        <f t="shared" si="22"/>
        <v>1.0712647053878754E-2</v>
      </c>
      <c r="BN70" s="140">
        <f t="shared" si="23"/>
        <v>-1.843083749190555E-2</v>
      </c>
      <c r="BO70" s="140">
        <f t="shared" si="24"/>
        <v>5.7510905171511695E-3</v>
      </c>
      <c r="BP70" s="140">
        <f t="shared" si="25"/>
        <v>-5.0142474472522736E-2</v>
      </c>
    </row>
    <row r="71" spans="1:68" ht="15" x14ac:dyDescent="0.25">
      <c r="A71" s="98">
        <v>65</v>
      </c>
      <c r="B71" s="124">
        <v>5</v>
      </c>
      <c r="C71" s="141" t="s">
        <v>468</v>
      </c>
      <c r="D71" s="126">
        <v>3.1603348347452893E-3</v>
      </c>
      <c r="E71" s="128">
        <f t="shared" si="28"/>
        <v>9678988.3319713641</v>
      </c>
      <c r="F71" s="126">
        <v>3.1603348347452893E-3</v>
      </c>
      <c r="G71" s="128">
        <f t="shared" si="2"/>
        <v>3727619.0238950099</v>
      </c>
      <c r="H71" s="126">
        <v>3.1603348347452893E-3</v>
      </c>
      <c r="I71" s="128">
        <f t="shared" si="29"/>
        <v>339259.3435543378</v>
      </c>
      <c r="J71" s="126">
        <v>3.1603348347452893E-3</v>
      </c>
      <c r="K71" s="128">
        <f t="shared" si="29"/>
        <v>901880.32592132885</v>
      </c>
      <c r="L71" s="126">
        <v>3.1603348347452893E-3</v>
      </c>
      <c r="M71" s="128">
        <f t="shared" si="30"/>
        <v>26954.35359047501</v>
      </c>
      <c r="N71" s="129" t="s">
        <v>391</v>
      </c>
      <c r="O71" s="128" t="str">
        <f t="shared" si="5"/>
        <v>NA</v>
      </c>
      <c r="P71" s="126">
        <v>3.1603348347452893E-3</v>
      </c>
      <c r="Q71" s="128">
        <f t="shared" si="31"/>
        <v>112450.39886260513</v>
      </c>
      <c r="R71" s="126">
        <v>3.1603348347452893E-3</v>
      </c>
      <c r="S71" s="128">
        <f t="shared" si="32"/>
        <v>128142.74757339321</v>
      </c>
      <c r="T71" s="126">
        <v>3.1603348347452893E-3</v>
      </c>
      <c r="U71" s="128">
        <f t="shared" si="33"/>
        <v>124174.9471883705</v>
      </c>
      <c r="V71" s="126">
        <v>3.1603348347452893E-3</v>
      </c>
      <c r="W71" s="128">
        <f t="shared" si="34"/>
        <v>20349.41180259909</v>
      </c>
      <c r="X71" s="131">
        <v>9.4759405307771904E-4</v>
      </c>
      <c r="Y71" s="128">
        <f t="shared" si="35"/>
        <v>108813.0163559488</v>
      </c>
      <c r="Z71" s="133" t="e">
        <f t="shared" si="11"/>
        <v>#VALUE!</v>
      </c>
      <c r="AA71" s="134">
        <v>3.3537845977281468E-3</v>
      </c>
      <c r="AB71" s="135">
        <f t="shared" si="12"/>
        <v>15168631.900715433</v>
      </c>
      <c r="AD71" s="136">
        <v>15044241</v>
      </c>
      <c r="AE71" s="137">
        <f t="shared" si="13"/>
        <v>-8.2005352578676804E-3</v>
      </c>
      <c r="AP71" s="138" t="s">
        <v>469</v>
      </c>
      <c r="AQ71">
        <v>9678988.3199999984</v>
      </c>
      <c r="AR71">
        <v>3727619.0100000002</v>
      </c>
      <c r="AS71">
        <v>339259.31999999995</v>
      </c>
      <c r="AT71">
        <v>901880.29000000015</v>
      </c>
      <c r="AU71">
        <v>26954.400000000005</v>
      </c>
      <c r="AV71"/>
      <c r="AW71">
        <v>112450.38999999998</v>
      </c>
      <c r="AX71">
        <v>128142.74</v>
      </c>
      <c r="AY71">
        <v>124174.95999999999</v>
      </c>
      <c r="AZ71">
        <v>20349.409999999996</v>
      </c>
      <c r="BA71">
        <v>108813.01999999999</v>
      </c>
      <c r="BB71">
        <v>15168631.859999999</v>
      </c>
      <c r="BD71" s="138" t="s">
        <v>469</v>
      </c>
      <c r="BE71" s="139">
        <f t="shared" si="14"/>
        <v>1.1971365660429001E-2</v>
      </c>
      <c r="BF71" s="140">
        <f t="shared" si="15"/>
        <v>-1.3895009644329548E-2</v>
      </c>
      <c r="BG71" s="140">
        <f t="shared" si="16"/>
        <v>2.3554337851237506E-2</v>
      </c>
      <c r="BH71" s="140">
        <f t="shared" si="17"/>
        <v>3.5921328701078892E-2</v>
      </c>
      <c r="BI71" s="140">
        <f t="shared" si="18"/>
        <v>-4.6409524995397078E-2</v>
      </c>
      <c r="BJ71" s="140">
        <f t="shared" si="19"/>
        <v>0</v>
      </c>
      <c r="BK71" s="140">
        <f t="shared" si="20"/>
        <v>8.8626051438041031E-3</v>
      </c>
      <c r="BL71" s="140">
        <f t="shared" si="21"/>
        <v>7.5733932026196271E-3</v>
      </c>
      <c r="BM71" s="140">
        <f t="shared" si="22"/>
        <v>1.2811629494535737E-2</v>
      </c>
      <c r="BN71" s="140">
        <f t="shared" si="23"/>
        <v>1.8025990939349867E-3</v>
      </c>
      <c r="BO71" s="140">
        <f t="shared" si="24"/>
        <v>-3.6440511903492734E-3</v>
      </c>
      <c r="BP71" s="140">
        <f t="shared" si="25"/>
        <v>4.0715433657169342E-2</v>
      </c>
    </row>
    <row r="72" spans="1:68" ht="15" x14ac:dyDescent="0.25">
      <c r="A72" s="98">
        <v>66</v>
      </c>
      <c r="B72" s="124">
        <v>7</v>
      </c>
      <c r="C72" s="141" t="s">
        <v>470</v>
      </c>
      <c r="D72" s="126">
        <v>3.8053946474045459E-3</v>
      </c>
      <c r="E72" s="128">
        <f t="shared" si="28"/>
        <v>11654578.491441216</v>
      </c>
      <c r="F72" s="126">
        <v>3.8053946474045459E-3</v>
      </c>
      <c r="G72" s="128">
        <f t="shared" ref="G72:G112" si="36">F72*G$113</f>
        <v>4488467.9069889411</v>
      </c>
      <c r="H72" s="126">
        <v>3.8053946474045459E-3</v>
      </c>
      <c r="I72" s="128">
        <f t="shared" si="29"/>
        <v>408505.98355908319</v>
      </c>
      <c r="J72" s="126">
        <v>3.8053946474045459E-3</v>
      </c>
      <c r="K72" s="128">
        <f t="shared" si="29"/>
        <v>1085964.2235146577</v>
      </c>
      <c r="L72" s="126">
        <v>3.8053946474045459E-3</v>
      </c>
      <c r="M72" s="128">
        <f t="shared" si="30"/>
        <v>32456.039704954237</v>
      </c>
      <c r="N72" s="129">
        <v>1.4999981587105892E-3</v>
      </c>
      <c r="O72" s="128">
        <f t="shared" ref="O72:O112" si="37">IFERROR(N72*O$113,"NA")</f>
        <v>372292.99999999994</v>
      </c>
      <c r="P72" s="126">
        <v>3.8053946474045459E-3</v>
      </c>
      <c r="Q72" s="128">
        <f t="shared" si="31"/>
        <v>135402.78745962447</v>
      </c>
      <c r="R72" s="126">
        <v>3.8053946474045459E-3</v>
      </c>
      <c r="S72" s="128">
        <f t="shared" si="32"/>
        <v>154298.12067960948</v>
      </c>
      <c r="T72" s="126">
        <v>3.8053946474045459E-3</v>
      </c>
      <c r="U72" s="128">
        <f t="shared" si="33"/>
        <v>149520.44769979309</v>
      </c>
      <c r="V72" s="126">
        <v>3.8053946474045459E-3</v>
      </c>
      <c r="W72" s="128">
        <f t="shared" si="34"/>
        <v>24502.955161611106</v>
      </c>
      <c r="X72" s="131">
        <v>2.2079308401483817E-3</v>
      </c>
      <c r="Y72" s="128">
        <f t="shared" si="35"/>
        <v>253538.54199649021</v>
      </c>
      <c r="Z72" s="133">
        <f t="shared" ref="Z72:Z113" si="38">E72+G72+I72+K72+M72+O72+S72+U72+Y72</f>
        <v>18599622.755584743</v>
      </c>
      <c r="AA72" s="134">
        <v>4.0732603402045993E-3</v>
      </c>
      <c r="AB72" s="135">
        <f t="shared" ref="AB72:AB112" si="39">E72+G72+I72+K72+M72+IF(O72="NA",0,O72)+Q72+S72+U72+W72+Y72</f>
        <v>18759528.498205978</v>
      </c>
      <c r="AD72" s="142">
        <v>18609750</v>
      </c>
      <c r="AE72" s="137">
        <f t="shared" ref="AE72:AE113" si="40">AD72/AB72-1</f>
        <v>-7.9841291437736661E-3</v>
      </c>
      <c r="AP72" s="138" t="s">
        <v>202</v>
      </c>
      <c r="AQ72">
        <v>11654578.49</v>
      </c>
      <c r="AR72">
        <v>4488467.92</v>
      </c>
      <c r="AS72">
        <v>408505.98</v>
      </c>
      <c r="AT72">
        <v>1085964.2199999997</v>
      </c>
      <c r="AU72">
        <v>32456.049999999996</v>
      </c>
      <c r="AV72">
        <v>372293</v>
      </c>
      <c r="AW72">
        <v>135402.78</v>
      </c>
      <c r="AX72">
        <v>154298.12</v>
      </c>
      <c r="AY72">
        <v>149520.44</v>
      </c>
      <c r="AZ72">
        <v>24502.959999999999</v>
      </c>
      <c r="BA72">
        <v>253538.54</v>
      </c>
      <c r="BB72">
        <v>18759528.500000004</v>
      </c>
      <c r="BD72" s="138" t="s">
        <v>202</v>
      </c>
      <c r="BE72" s="139">
        <f t="shared" ref="BE72:BE113" si="41">E72-AQ72</f>
        <v>1.4412160962820053E-3</v>
      </c>
      <c r="BF72" s="140">
        <f t="shared" ref="BF72:BF113" si="42">AR72-G72</f>
        <v>1.3011058792471886E-2</v>
      </c>
      <c r="BG72" s="140">
        <f t="shared" ref="BG72:BG113" si="43">I72-AS72</f>
        <v>3.5590832121670246E-3</v>
      </c>
      <c r="BH72" s="140">
        <f t="shared" ref="BH72:BH113" si="44">K72-AT72</f>
        <v>3.514657961204648E-3</v>
      </c>
      <c r="BI72" s="140">
        <f t="shared" ref="BI72:BI113" si="45">M72-AU72</f>
        <v>-1.0295045758539345E-2</v>
      </c>
      <c r="BJ72" s="140">
        <f t="shared" ref="BJ72:BJ113" si="46">IFERROR(O72-AV72,0)</f>
        <v>-5.8207660913467407E-11</v>
      </c>
      <c r="BK72" s="140">
        <f t="shared" ref="BK72:BK113" si="47">Q72-AW72</f>
        <v>7.4596244667191058E-3</v>
      </c>
      <c r="BL72" s="140">
        <f t="shared" ref="BL72:BL113" si="48">S72-AX72</f>
        <v>6.7960948217660189E-4</v>
      </c>
      <c r="BM72" s="140">
        <f t="shared" ref="BM72:BM113" si="49">AY72-U72</f>
        <v>-7.6997930882498622E-3</v>
      </c>
      <c r="BN72" s="140">
        <f t="shared" ref="BN72:BN113" si="50">W72-AZ72</f>
        <v>-4.8383888934040442E-3</v>
      </c>
      <c r="BO72" s="140">
        <f t="shared" ref="BO72:BO113" si="51">Y72-BA72</f>
        <v>1.996490202145651E-3</v>
      </c>
      <c r="BP72" s="140">
        <f t="shared" ref="BP72:BP113" si="52">AB72-BB72</f>
        <v>-1.7940253019332886E-3</v>
      </c>
    </row>
    <row r="73" spans="1:68" ht="15" x14ac:dyDescent="0.25">
      <c r="A73" s="98">
        <v>67</v>
      </c>
      <c r="B73" s="124">
        <v>2</v>
      </c>
      <c r="C73" s="141" t="s">
        <v>471</v>
      </c>
      <c r="D73" s="126">
        <v>5.4609080350088851E-3</v>
      </c>
      <c r="E73" s="128">
        <f t="shared" si="28"/>
        <v>16724830.727336414</v>
      </c>
      <c r="F73" s="126">
        <v>5.4609080350088851E-3</v>
      </c>
      <c r="G73" s="128">
        <f t="shared" si="36"/>
        <v>6441148.0882470692</v>
      </c>
      <c r="H73" s="126">
        <v>5.4609080350088851E-3</v>
      </c>
      <c r="I73" s="128">
        <f t="shared" ref="I73:K88" si="53">H73*I$113</f>
        <v>586223.98323089106</v>
      </c>
      <c r="J73" s="126">
        <v>5.4609080350088851E-3</v>
      </c>
      <c r="K73" s="128">
        <f t="shared" si="53"/>
        <v>1558406.2373052821</v>
      </c>
      <c r="L73" s="126">
        <v>5.4609080350088851E-3</v>
      </c>
      <c r="M73" s="128">
        <f t="shared" si="30"/>
        <v>46575.838889729202</v>
      </c>
      <c r="N73" s="129" t="s">
        <v>391</v>
      </c>
      <c r="O73" s="128" t="str">
        <f t="shared" si="37"/>
        <v>NA</v>
      </c>
      <c r="P73" s="126">
        <v>5.4609080350088851E-3</v>
      </c>
      <c r="Q73" s="128">
        <f t="shared" si="31"/>
        <v>194308.93205917114</v>
      </c>
      <c r="R73" s="126">
        <v>5.4609080350088851E-3</v>
      </c>
      <c r="S73" s="128">
        <f t="shared" si="32"/>
        <v>221424.56304256048</v>
      </c>
      <c r="T73" s="126">
        <v>5.4609080350088851E-3</v>
      </c>
      <c r="U73" s="128">
        <f t="shared" si="33"/>
        <v>214568.39300460683</v>
      </c>
      <c r="V73" s="126">
        <v>5.4609080350088851E-3</v>
      </c>
      <c r="W73" s="128">
        <f t="shared" si="34"/>
        <v>35162.814141962379</v>
      </c>
      <c r="X73" s="131">
        <v>4.5838464832299629E-3</v>
      </c>
      <c r="Y73" s="128">
        <f t="shared" si="35"/>
        <v>526366.9191811101</v>
      </c>
      <c r="Z73" s="133" t="e">
        <f t="shared" si="38"/>
        <v>#VALUE!</v>
      </c>
      <c r="AA73" s="134">
        <v>5.7852088258016241E-3</v>
      </c>
      <c r="AB73" s="135">
        <f t="shared" si="39"/>
        <v>26549016.496438798</v>
      </c>
      <c r="AD73" s="136">
        <v>26334079</v>
      </c>
      <c r="AE73" s="137">
        <f t="shared" si="40"/>
        <v>-8.0958741529136846E-3</v>
      </c>
      <c r="AP73" s="138" t="s">
        <v>472</v>
      </c>
      <c r="AQ73">
        <v>16724830.720000001</v>
      </c>
      <c r="AR73">
        <v>6441148.0899999999</v>
      </c>
      <c r="AS73">
        <v>586224</v>
      </c>
      <c r="AT73">
        <v>1558406.2400000002</v>
      </c>
      <c r="AU73">
        <v>46575.85</v>
      </c>
      <c r="AV73"/>
      <c r="AW73">
        <v>194308.91999999995</v>
      </c>
      <c r="AX73">
        <v>221424.59</v>
      </c>
      <c r="AY73">
        <v>214568.39999999997</v>
      </c>
      <c r="AZ73">
        <v>35162.81</v>
      </c>
      <c r="BA73">
        <v>526366.90999999992</v>
      </c>
      <c r="BB73">
        <v>26549016.529999997</v>
      </c>
      <c r="BD73" s="138" t="s">
        <v>472</v>
      </c>
      <c r="BE73" s="139">
        <f t="shared" si="41"/>
        <v>7.3364134877920151E-3</v>
      </c>
      <c r="BF73" s="140">
        <f t="shared" si="42"/>
        <v>1.7529306933283806E-3</v>
      </c>
      <c r="BG73" s="140">
        <f t="shared" si="43"/>
        <v>-1.6769108944572508E-2</v>
      </c>
      <c r="BH73" s="140">
        <f t="shared" si="44"/>
        <v>-2.6947180740535259E-3</v>
      </c>
      <c r="BI73" s="140">
        <f t="shared" si="45"/>
        <v>-1.1110270796052646E-2</v>
      </c>
      <c r="BJ73" s="140">
        <f t="shared" si="46"/>
        <v>0</v>
      </c>
      <c r="BK73" s="140">
        <f t="shared" si="47"/>
        <v>1.2059171189321205E-2</v>
      </c>
      <c r="BL73" s="140">
        <f t="shared" si="48"/>
        <v>-2.6957439520629123E-2</v>
      </c>
      <c r="BM73" s="140">
        <f t="shared" si="49"/>
        <v>6.9953931379131973E-3</v>
      </c>
      <c r="BN73" s="140">
        <f t="shared" si="50"/>
        <v>4.141962381254416E-3</v>
      </c>
      <c r="BO73" s="140">
        <f t="shared" si="51"/>
        <v>9.1811101883649826E-3</v>
      </c>
      <c r="BP73" s="140">
        <f t="shared" si="52"/>
        <v>-3.3561199903488159E-2</v>
      </c>
    </row>
    <row r="74" spans="1:68" ht="15" x14ac:dyDescent="0.25">
      <c r="A74" s="98">
        <v>68</v>
      </c>
      <c r="B74" s="124">
        <v>4</v>
      </c>
      <c r="C74" s="141" t="s">
        <v>473</v>
      </c>
      <c r="D74" s="126">
        <v>3.5820105024139438E-3</v>
      </c>
      <c r="E74" s="128">
        <f t="shared" si="28"/>
        <v>10970431.827885013</v>
      </c>
      <c r="F74" s="126">
        <v>3.5820105024139438E-3</v>
      </c>
      <c r="G74" s="128">
        <f t="shared" si="36"/>
        <v>4224986.0191368265</v>
      </c>
      <c r="H74" s="126">
        <v>3.5820105024139438E-3</v>
      </c>
      <c r="I74" s="128">
        <f t="shared" si="53"/>
        <v>384525.87943949341</v>
      </c>
      <c r="J74" s="126">
        <v>3.5820105024139438E-3</v>
      </c>
      <c r="K74" s="128">
        <f t="shared" si="53"/>
        <v>1022215.9892216231</v>
      </c>
      <c r="L74" s="126">
        <v>3.5820105024139438E-3</v>
      </c>
      <c r="M74" s="128">
        <f t="shared" si="30"/>
        <v>30550.806384615917</v>
      </c>
      <c r="N74" s="129" t="s">
        <v>391</v>
      </c>
      <c r="O74" s="128" t="str">
        <f t="shared" si="37"/>
        <v>NA</v>
      </c>
      <c r="P74" s="126">
        <v>3.5820105024139438E-3</v>
      </c>
      <c r="Q74" s="128">
        <f t="shared" si="31"/>
        <v>127454.37771278199</v>
      </c>
      <c r="R74" s="126">
        <v>3.5820105024139438E-3</v>
      </c>
      <c r="S74" s="128">
        <f t="shared" si="32"/>
        <v>145240.51773554168</v>
      </c>
      <c r="T74" s="126">
        <v>3.5820105024139438E-3</v>
      </c>
      <c r="U74" s="128">
        <f t="shared" si="33"/>
        <v>140743.30354976098</v>
      </c>
      <c r="V74" s="126">
        <v>3.5820105024139438E-3</v>
      </c>
      <c r="W74" s="128">
        <f t="shared" si="34"/>
        <v>23064.583535095891</v>
      </c>
      <c r="X74" s="131">
        <v>1.5301626425183843E-3</v>
      </c>
      <c r="Y74" s="128">
        <f t="shared" si="35"/>
        <v>175709.85392619256</v>
      </c>
      <c r="Z74" s="133" t="e">
        <f t="shared" si="38"/>
        <v>#VALUE!</v>
      </c>
      <c r="AA74" s="134">
        <v>3.8060780497961837E-3</v>
      </c>
      <c r="AB74" s="135">
        <f t="shared" si="39"/>
        <v>17244923.15852695</v>
      </c>
      <c r="AD74" s="142">
        <v>17103938</v>
      </c>
      <c r="AE74" s="137">
        <f t="shared" si="40"/>
        <v>-8.1754587846474269E-3</v>
      </c>
      <c r="AP74" s="138" t="s">
        <v>474</v>
      </c>
      <c r="AQ74">
        <v>10970431.84</v>
      </c>
      <c r="AR74">
        <v>4224986.0199999996</v>
      </c>
      <c r="AS74">
        <v>384525.88999999996</v>
      </c>
      <c r="AT74">
        <v>1022215.9900000001</v>
      </c>
      <c r="AU74">
        <v>30550.810000000005</v>
      </c>
      <c r="AV74"/>
      <c r="AW74">
        <v>127454.38</v>
      </c>
      <c r="AX74">
        <v>145240.52000000002</v>
      </c>
      <c r="AY74">
        <v>140743.31</v>
      </c>
      <c r="AZ74">
        <v>23064.59</v>
      </c>
      <c r="BA74">
        <v>175709.84999999998</v>
      </c>
      <c r="BB74">
        <v>17244923.199999999</v>
      </c>
      <c r="BD74" s="138" t="s">
        <v>474</v>
      </c>
      <c r="BE74" s="139">
        <f t="shared" si="41"/>
        <v>-1.2114986777305603E-2</v>
      </c>
      <c r="BF74" s="140">
        <f t="shared" si="42"/>
        <v>8.6317304521799088E-4</v>
      </c>
      <c r="BG74" s="140">
        <f t="shared" si="43"/>
        <v>-1.0560506547335535E-2</v>
      </c>
      <c r="BH74" s="140">
        <f t="shared" si="44"/>
        <v>-7.7837705612182617E-4</v>
      </c>
      <c r="BI74" s="140">
        <f t="shared" si="45"/>
        <v>-3.6153840883343946E-3</v>
      </c>
      <c r="BJ74" s="140">
        <f t="shared" si="46"/>
        <v>0</v>
      </c>
      <c r="BK74" s="140">
        <f t="shared" si="47"/>
        <v>-2.2872180124977604E-3</v>
      </c>
      <c r="BL74" s="140">
        <f t="shared" si="48"/>
        <v>-2.2644583368673921E-3</v>
      </c>
      <c r="BM74" s="140">
        <f t="shared" si="49"/>
        <v>6.450239015975967E-3</v>
      </c>
      <c r="BN74" s="140">
        <f t="shared" si="50"/>
        <v>-6.4649041087250225E-3</v>
      </c>
      <c r="BO74" s="140">
        <f t="shared" si="51"/>
        <v>3.926192584913224E-3</v>
      </c>
      <c r="BP74" s="140">
        <f t="shared" si="52"/>
        <v>-4.147304967045784E-2</v>
      </c>
    </row>
    <row r="75" spans="1:68" ht="15" x14ac:dyDescent="0.25">
      <c r="A75" s="98">
        <v>69</v>
      </c>
      <c r="B75" s="124">
        <v>6</v>
      </c>
      <c r="C75" s="141" t="s">
        <v>475</v>
      </c>
      <c r="D75" s="126">
        <v>5.1832804506456633E-3</v>
      </c>
      <c r="E75" s="128">
        <f t="shared" si="28"/>
        <v>15874555.585556511</v>
      </c>
      <c r="F75" s="126">
        <v>5.1832804506456633E-3</v>
      </c>
      <c r="G75" s="128">
        <f t="shared" si="36"/>
        <v>6113685.993518183</v>
      </c>
      <c r="H75" s="126">
        <v>5.1832804506456633E-3</v>
      </c>
      <c r="I75" s="128">
        <f t="shared" si="53"/>
        <v>556420.89053700108</v>
      </c>
      <c r="J75" s="126">
        <v>5.1832804506456633E-3</v>
      </c>
      <c r="K75" s="128">
        <f t="shared" si="53"/>
        <v>1479178.2854068137</v>
      </c>
      <c r="L75" s="126">
        <v>5.1832804506456633E-3</v>
      </c>
      <c r="M75" s="128">
        <f t="shared" si="30"/>
        <v>44207.965715936582</v>
      </c>
      <c r="N75" s="129" t="s">
        <v>391</v>
      </c>
      <c r="O75" s="128" t="str">
        <f t="shared" si="37"/>
        <v>NA</v>
      </c>
      <c r="P75" s="126">
        <v>5.1832804506456633E-3</v>
      </c>
      <c r="Q75" s="128">
        <f t="shared" si="31"/>
        <v>184430.44315550345</v>
      </c>
      <c r="R75" s="126">
        <v>5.1832804506456633E-3</v>
      </c>
      <c r="S75" s="128">
        <f t="shared" si="32"/>
        <v>210167.54018810255</v>
      </c>
      <c r="T75" s="126">
        <v>5.1832804506456633E-3</v>
      </c>
      <c r="U75" s="128">
        <f t="shared" si="33"/>
        <v>203659.9315823169</v>
      </c>
      <c r="V75" s="126">
        <v>5.1832804506456633E-3</v>
      </c>
      <c r="W75" s="128">
        <f t="shared" si="34"/>
        <v>33375.168738109678</v>
      </c>
      <c r="X75" s="131">
        <v>4.6449281860047268E-3</v>
      </c>
      <c r="Y75" s="128">
        <f t="shared" si="35"/>
        <v>533380.9821139581</v>
      </c>
      <c r="Z75" s="133" t="e">
        <f t="shared" si="38"/>
        <v>#VALUE!</v>
      </c>
      <c r="AA75" s="134">
        <v>5.5627666897621903E-3</v>
      </c>
      <c r="AB75" s="135">
        <f t="shared" si="39"/>
        <v>25233062.786512438</v>
      </c>
      <c r="AD75" s="136">
        <v>25029052</v>
      </c>
      <c r="AE75" s="137">
        <f t="shared" si="40"/>
        <v>-8.0850584108039802E-3</v>
      </c>
      <c r="AP75" s="138" t="s">
        <v>203</v>
      </c>
      <c r="AQ75">
        <v>15874555.569999998</v>
      </c>
      <c r="AR75">
        <v>6113685.9800000004</v>
      </c>
      <c r="AS75">
        <v>556420.89</v>
      </c>
      <c r="AT75">
        <v>1479178.2799999998</v>
      </c>
      <c r="AU75">
        <v>44208.01</v>
      </c>
      <c r="AV75"/>
      <c r="AW75">
        <v>184430.43999999997</v>
      </c>
      <c r="AX75">
        <v>210167.53999999998</v>
      </c>
      <c r="AY75">
        <v>203659.91000000003</v>
      </c>
      <c r="AZ75">
        <v>33375.17</v>
      </c>
      <c r="BA75">
        <v>533380.98</v>
      </c>
      <c r="BB75">
        <v>25233062.77</v>
      </c>
      <c r="BD75" s="138" t="s">
        <v>203</v>
      </c>
      <c r="BE75" s="139">
        <f t="shared" si="41"/>
        <v>1.5556512400507927E-2</v>
      </c>
      <c r="BF75" s="140">
        <f t="shared" si="42"/>
        <v>-1.3518182560801506E-2</v>
      </c>
      <c r="BG75" s="140">
        <f t="shared" si="43"/>
        <v>5.3700106218457222E-4</v>
      </c>
      <c r="BH75" s="140">
        <f t="shared" si="44"/>
        <v>5.4068139288574457E-3</v>
      </c>
      <c r="BI75" s="140">
        <f t="shared" si="45"/>
        <v>-4.4284063420491293E-2</v>
      </c>
      <c r="BJ75" s="140">
        <f t="shared" si="46"/>
        <v>0</v>
      </c>
      <c r="BK75" s="140">
        <f t="shared" si="47"/>
        <v>3.1555034802295268E-3</v>
      </c>
      <c r="BL75" s="140">
        <f t="shared" si="48"/>
        <v>1.8810256733559072E-4</v>
      </c>
      <c r="BM75" s="140">
        <f t="shared" si="49"/>
        <v>-2.1582316869171336E-2</v>
      </c>
      <c r="BN75" s="140">
        <f t="shared" si="50"/>
        <v>-1.2618903201655485E-3</v>
      </c>
      <c r="BO75" s="140">
        <f t="shared" si="51"/>
        <v>2.1139581222087145E-3</v>
      </c>
      <c r="BP75" s="140">
        <f t="shared" si="52"/>
        <v>1.6512438654899597E-2</v>
      </c>
    </row>
    <row r="76" spans="1:68" ht="15" x14ac:dyDescent="0.25">
      <c r="A76" s="98">
        <v>70</v>
      </c>
      <c r="B76" s="124">
        <v>5</v>
      </c>
      <c r="C76" s="141" t="s">
        <v>476</v>
      </c>
      <c r="D76" s="126">
        <v>3.7267298387320329E-3</v>
      </c>
      <c r="E76" s="128">
        <f t="shared" si="28"/>
        <v>11413655.99268979</v>
      </c>
      <c r="F76" s="126">
        <v>3.7267298387320329E-3</v>
      </c>
      <c r="G76" s="128">
        <f t="shared" si="36"/>
        <v>4395682.6634461144</v>
      </c>
      <c r="H76" s="126">
        <v>3.7267298387320329E-3</v>
      </c>
      <c r="I76" s="128">
        <f t="shared" si="53"/>
        <v>400061.38108922646</v>
      </c>
      <c r="J76" s="126">
        <v>3.7267298387320329E-3</v>
      </c>
      <c r="K76" s="128">
        <f t="shared" si="53"/>
        <v>1063515.2594036055</v>
      </c>
      <c r="L76" s="126">
        <v>3.7267298387320329E-3</v>
      </c>
      <c r="M76" s="128">
        <f t="shared" si="30"/>
        <v>31785.111091702765</v>
      </c>
      <c r="N76" s="129" t="s">
        <v>391</v>
      </c>
      <c r="O76" s="128" t="str">
        <f t="shared" si="37"/>
        <v>NA</v>
      </c>
      <c r="P76" s="126">
        <v>3.7267298387320329E-3</v>
      </c>
      <c r="Q76" s="128">
        <f t="shared" si="31"/>
        <v>132603.75204906563</v>
      </c>
      <c r="R76" s="126">
        <v>3.7267298387320329E-3</v>
      </c>
      <c r="S76" s="128">
        <f t="shared" si="32"/>
        <v>151108.48247741451</v>
      </c>
      <c r="T76" s="126">
        <v>3.7267298387320329E-3</v>
      </c>
      <c r="U76" s="128">
        <f t="shared" si="33"/>
        <v>146429.57316488645</v>
      </c>
      <c r="V76" s="126">
        <v>3.7267298387320329E-3</v>
      </c>
      <c r="W76" s="128">
        <f t="shared" si="34"/>
        <v>23996.43206524475</v>
      </c>
      <c r="X76" s="131">
        <v>1.8772927459296323E-3</v>
      </c>
      <c r="Y76" s="128">
        <f t="shared" si="35"/>
        <v>215571.09355454252</v>
      </c>
      <c r="Z76" s="133" t="e">
        <f t="shared" si="38"/>
        <v>#VALUE!</v>
      </c>
      <c r="AA76" s="134">
        <v>4.068777485699759E-3</v>
      </c>
      <c r="AB76" s="135">
        <f t="shared" si="39"/>
        <v>17974409.741031598</v>
      </c>
      <c r="AD76" s="142">
        <v>17827726</v>
      </c>
      <c r="AE76" s="137">
        <f t="shared" si="40"/>
        <v>-8.1606986346123289E-3</v>
      </c>
      <c r="AP76" s="138" t="s">
        <v>204</v>
      </c>
      <c r="AQ76">
        <v>11413655.99</v>
      </c>
      <c r="AR76">
        <v>4395682.67</v>
      </c>
      <c r="AS76">
        <v>400061.39</v>
      </c>
      <c r="AT76">
        <v>1063515.2499999998</v>
      </c>
      <c r="AU76">
        <v>31785.130000000012</v>
      </c>
      <c r="AV76"/>
      <c r="AW76">
        <v>132603.75000000003</v>
      </c>
      <c r="AX76">
        <v>151108.48000000001</v>
      </c>
      <c r="AY76">
        <v>146429.57</v>
      </c>
      <c r="AZ76">
        <v>23996.439999999995</v>
      </c>
      <c r="BA76">
        <v>215571.10000000003</v>
      </c>
      <c r="BB76">
        <v>17974409.770000003</v>
      </c>
      <c r="BD76" s="138" t="s">
        <v>204</v>
      </c>
      <c r="BE76" s="139">
        <f t="shared" si="41"/>
        <v>2.6897899806499481E-3</v>
      </c>
      <c r="BF76" s="140">
        <f t="shared" si="42"/>
        <v>6.5538855269551277E-3</v>
      </c>
      <c r="BG76" s="140">
        <f t="shared" si="43"/>
        <v>-8.9107735548168421E-3</v>
      </c>
      <c r="BH76" s="140">
        <f t="shared" si="44"/>
        <v>9.4036057125777006E-3</v>
      </c>
      <c r="BI76" s="140">
        <f t="shared" si="45"/>
        <v>-1.8908297246525763E-2</v>
      </c>
      <c r="BJ76" s="140">
        <f t="shared" si="46"/>
        <v>0</v>
      </c>
      <c r="BK76" s="140">
        <f t="shared" si="47"/>
        <v>2.0490656024776399E-3</v>
      </c>
      <c r="BL76" s="140">
        <f t="shared" si="48"/>
        <v>2.4774144985713065E-3</v>
      </c>
      <c r="BM76" s="140">
        <f t="shared" si="49"/>
        <v>-3.1648864387534559E-3</v>
      </c>
      <c r="BN76" s="140">
        <f t="shared" si="50"/>
        <v>-7.9347552455146797E-3</v>
      </c>
      <c r="BO76" s="140">
        <f t="shared" si="51"/>
        <v>-6.4454575185663998E-3</v>
      </c>
      <c r="BP76" s="140">
        <f t="shared" si="52"/>
        <v>-2.8968404978513718E-2</v>
      </c>
    </row>
    <row r="77" spans="1:68" ht="15" x14ac:dyDescent="0.25">
      <c r="A77" s="98">
        <v>71</v>
      </c>
      <c r="B77" s="124">
        <v>3</v>
      </c>
      <c r="C77" s="141" t="s">
        <v>477</v>
      </c>
      <c r="D77" s="126">
        <v>3.1206515544921964E-3</v>
      </c>
      <c r="E77" s="128">
        <f t="shared" si="28"/>
        <v>9557452.4737068415</v>
      </c>
      <c r="F77" s="126">
        <v>3.1206515544921964E-3</v>
      </c>
      <c r="G77" s="128">
        <f t="shared" si="36"/>
        <v>3680812.5435260055</v>
      </c>
      <c r="H77" s="126">
        <v>3.1206515544921964E-3</v>
      </c>
      <c r="I77" s="128">
        <f t="shared" si="53"/>
        <v>334999.37607850792</v>
      </c>
      <c r="J77" s="126">
        <v>3.1206515544921964E-3</v>
      </c>
      <c r="K77" s="128">
        <f t="shared" si="53"/>
        <v>890555.71267629857</v>
      </c>
      <c r="L77" s="126">
        <v>3.1206515544921964E-3</v>
      </c>
      <c r="M77" s="128">
        <f t="shared" si="30"/>
        <v>26615.896678943991</v>
      </c>
      <c r="N77" s="129" t="s">
        <v>391</v>
      </c>
      <c r="O77" s="128" t="str">
        <f t="shared" si="37"/>
        <v>NA</v>
      </c>
      <c r="P77" s="126">
        <v>3.1206515544921964E-3</v>
      </c>
      <c r="Q77" s="128">
        <f t="shared" si="31"/>
        <v>111038.39636097891</v>
      </c>
      <c r="R77" s="126">
        <v>3.1206515544921964E-3</v>
      </c>
      <c r="S77" s="128">
        <f t="shared" si="32"/>
        <v>126533.70143421531</v>
      </c>
      <c r="T77" s="126">
        <v>3.1206515544921964E-3</v>
      </c>
      <c r="U77" s="128">
        <f t="shared" si="33"/>
        <v>122615.72340755037</v>
      </c>
      <c r="V77" s="126">
        <v>3.1206515544921964E-3</v>
      </c>
      <c r="W77" s="128">
        <f t="shared" si="34"/>
        <v>20093.890962633021</v>
      </c>
      <c r="X77" s="131">
        <v>1.0108746835383376E-3</v>
      </c>
      <c r="Y77" s="128">
        <f t="shared" si="35"/>
        <v>116079.58399106807</v>
      </c>
      <c r="Z77" s="133" t="e">
        <f t="shared" si="38"/>
        <v>#VALUE!</v>
      </c>
      <c r="AA77" s="134">
        <v>3.3574374358942586E-3</v>
      </c>
      <c r="AB77" s="135">
        <f t="shared" si="39"/>
        <v>14986797.29882304</v>
      </c>
      <c r="AD77" s="136">
        <v>14863971</v>
      </c>
      <c r="AE77" s="137">
        <f t="shared" si="40"/>
        <v>-8.1956335549214776E-3</v>
      </c>
      <c r="AP77" s="138" t="s">
        <v>205</v>
      </c>
      <c r="AQ77">
        <v>9557452.4800000004</v>
      </c>
      <c r="AR77">
        <v>3680812.5599999996</v>
      </c>
      <c r="AS77">
        <v>334999.37999999989</v>
      </c>
      <c r="AT77">
        <v>890555.7</v>
      </c>
      <c r="AU77">
        <v>26615.889999999992</v>
      </c>
      <c r="AV77"/>
      <c r="AW77">
        <v>111038.39999999999</v>
      </c>
      <c r="AX77">
        <v>126533.7</v>
      </c>
      <c r="AY77">
        <v>122615.71999999999</v>
      </c>
      <c r="AZ77">
        <v>20093.900000000001</v>
      </c>
      <c r="BA77">
        <v>116079.59</v>
      </c>
      <c r="BB77">
        <v>14986797.32</v>
      </c>
      <c r="BD77" s="138" t="s">
        <v>205</v>
      </c>
      <c r="BE77" s="139">
        <f t="shared" si="41"/>
        <v>-6.2931589782238007E-3</v>
      </c>
      <c r="BF77" s="140">
        <f t="shared" si="42"/>
        <v>1.6473994124680758E-2</v>
      </c>
      <c r="BG77" s="140">
        <f t="shared" si="43"/>
        <v>-3.921491967048496E-3</v>
      </c>
      <c r="BH77" s="140">
        <f t="shared" si="44"/>
        <v>1.267629861831665E-2</v>
      </c>
      <c r="BI77" s="140">
        <f t="shared" si="45"/>
        <v>6.6789439988497179E-3</v>
      </c>
      <c r="BJ77" s="140">
        <f t="shared" si="46"/>
        <v>0</v>
      </c>
      <c r="BK77" s="140">
        <f t="shared" si="47"/>
        <v>-3.6390210880199447E-3</v>
      </c>
      <c r="BL77" s="140">
        <f t="shared" si="48"/>
        <v>1.4342153153847903E-3</v>
      </c>
      <c r="BM77" s="140">
        <f t="shared" si="49"/>
        <v>-3.4075503790518269E-3</v>
      </c>
      <c r="BN77" s="140">
        <f t="shared" si="50"/>
        <v>-9.0373669809196144E-3</v>
      </c>
      <c r="BO77" s="140">
        <f t="shared" si="51"/>
        <v>-6.0089319304097444E-3</v>
      </c>
      <c r="BP77" s="140">
        <f t="shared" si="52"/>
        <v>-2.1176960319280624E-2</v>
      </c>
    </row>
    <row r="78" spans="1:68" ht="15" x14ac:dyDescent="0.25">
      <c r="A78" s="98">
        <v>72</v>
      </c>
      <c r="B78" s="124">
        <v>4</v>
      </c>
      <c r="C78" s="143" t="s">
        <v>478</v>
      </c>
      <c r="D78" s="126">
        <v>3.086610042980767E-3</v>
      </c>
      <c r="E78" s="128">
        <f t="shared" si="28"/>
        <v>9453195.3585748151</v>
      </c>
      <c r="F78" s="126">
        <v>3.086610042980767E-3</v>
      </c>
      <c r="G78" s="128">
        <f t="shared" si="36"/>
        <v>3640660.5366826002</v>
      </c>
      <c r="H78" s="126">
        <v>3.086610042980767E-3</v>
      </c>
      <c r="I78" s="128">
        <f t="shared" si="53"/>
        <v>331345.04783391999</v>
      </c>
      <c r="J78" s="126">
        <v>3.086610042980767E-3</v>
      </c>
      <c r="K78" s="128">
        <f t="shared" si="53"/>
        <v>880841.11877971329</v>
      </c>
      <c r="L78" s="126">
        <v>3.086610042980767E-3</v>
      </c>
      <c r="M78" s="128">
        <f t="shared" si="30"/>
        <v>26325.558159131029</v>
      </c>
      <c r="N78" s="129" t="s">
        <v>391</v>
      </c>
      <c r="O78" s="128" t="str">
        <f t="shared" si="37"/>
        <v>NA</v>
      </c>
      <c r="P78" s="126">
        <v>3.086610042980767E-3</v>
      </c>
      <c r="Q78" s="128">
        <f t="shared" si="31"/>
        <v>109827.13814072304</v>
      </c>
      <c r="R78" s="126">
        <v>3.086610042980767E-3</v>
      </c>
      <c r="S78" s="128">
        <f t="shared" si="32"/>
        <v>125153.41325441001</v>
      </c>
      <c r="T78" s="126">
        <v>3.086610042980767E-3</v>
      </c>
      <c r="U78" s="128">
        <f t="shared" si="33"/>
        <v>121278.17434544767</v>
      </c>
      <c r="V78" s="126">
        <v>3.086610042980767E-3</v>
      </c>
      <c r="W78" s="128">
        <f t="shared" si="34"/>
        <v>19874.697499803369</v>
      </c>
      <c r="X78" s="131">
        <v>8.4936041066449217E-4</v>
      </c>
      <c r="Y78" s="128">
        <f t="shared" si="35"/>
        <v>97532.76517254654</v>
      </c>
      <c r="Z78" s="133" t="e">
        <f t="shared" si="38"/>
        <v>#VALUE!</v>
      </c>
      <c r="AA78" s="134">
        <v>3.3802860880021218E-3</v>
      </c>
      <c r="AB78" s="135">
        <f t="shared" si="39"/>
        <v>14806033.80844311</v>
      </c>
      <c r="AD78" s="142">
        <v>14684547</v>
      </c>
      <c r="AE78" s="137">
        <f t="shared" si="40"/>
        <v>-8.2052229526743403E-3</v>
      </c>
      <c r="AP78" s="138" t="s">
        <v>206</v>
      </c>
      <c r="AQ78">
        <v>9453195.3599999975</v>
      </c>
      <c r="AR78">
        <v>3640660.54</v>
      </c>
      <c r="AS78">
        <v>331345.02</v>
      </c>
      <c r="AT78">
        <v>880841.14999999991</v>
      </c>
      <c r="AU78">
        <v>26325.609999999997</v>
      </c>
      <c r="AV78"/>
      <c r="AW78">
        <v>109827.14</v>
      </c>
      <c r="AX78">
        <v>125153.40999999999</v>
      </c>
      <c r="AY78">
        <v>121278.17</v>
      </c>
      <c r="AZ78">
        <v>19874.7</v>
      </c>
      <c r="BA78">
        <v>97532.770000000019</v>
      </c>
      <c r="BB78">
        <v>14806033.869999995</v>
      </c>
      <c r="BD78" s="138" t="s">
        <v>206</v>
      </c>
      <c r="BE78" s="139">
        <f t="shared" si="41"/>
        <v>-1.4251824468374252E-3</v>
      </c>
      <c r="BF78" s="140">
        <f t="shared" si="42"/>
        <v>3.3173998817801476E-3</v>
      </c>
      <c r="BG78" s="140">
        <f t="shared" si="43"/>
        <v>2.783391997218132E-2</v>
      </c>
      <c r="BH78" s="140">
        <f t="shared" si="44"/>
        <v>-3.122028661891818E-2</v>
      </c>
      <c r="BI78" s="140">
        <f t="shared" si="45"/>
        <v>-5.1840868967701681E-2</v>
      </c>
      <c r="BJ78" s="140">
        <f t="shared" si="46"/>
        <v>0</v>
      </c>
      <c r="BK78" s="140">
        <f t="shared" si="47"/>
        <v>-1.8592769629321992E-3</v>
      </c>
      <c r="BL78" s="140">
        <f t="shared" si="48"/>
        <v>3.2544100249651819E-3</v>
      </c>
      <c r="BM78" s="140">
        <f t="shared" si="49"/>
        <v>-4.3454476690385491E-3</v>
      </c>
      <c r="BN78" s="140">
        <f t="shared" si="50"/>
        <v>-2.5001966314448509E-3</v>
      </c>
      <c r="BO78" s="140">
        <f t="shared" si="51"/>
        <v>-4.827453478355892E-3</v>
      </c>
      <c r="BP78" s="140">
        <f t="shared" si="52"/>
        <v>-6.155688501894474E-2</v>
      </c>
    </row>
    <row r="79" spans="1:68" ht="15" x14ac:dyDescent="0.25">
      <c r="A79" s="98">
        <v>73</v>
      </c>
      <c r="B79" s="124">
        <v>6</v>
      </c>
      <c r="C79" s="141" t="s">
        <v>479</v>
      </c>
      <c r="D79" s="126">
        <v>4.2921099074001816E-3</v>
      </c>
      <c r="E79" s="128">
        <f t="shared" si="28"/>
        <v>13145215.265335413</v>
      </c>
      <c r="F79" s="126">
        <v>4.2921099074001816E-3</v>
      </c>
      <c r="G79" s="128">
        <f t="shared" si="36"/>
        <v>5062549.1854766244</v>
      </c>
      <c r="H79" s="126">
        <v>4.2921099074001816E-3</v>
      </c>
      <c r="I79" s="128">
        <f t="shared" si="53"/>
        <v>460754.46615295572</v>
      </c>
      <c r="J79" s="126">
        <v>4.2921099074001816E-3</v>
      </c>
      <c r="K79" s="128">
        <f t="shared" si="53"/>
        <v>1224860.5557924134</v>
      </c>
      <c r="L79" s="126">
        <v>4.2921099074001816E-3</v>
      </c>
      <c r="M79" s="128">
        <f t="shared" si="30"/>
        <v>36607.212255270315</v>
      </c>
      <c r="N79" s="129" t="s">
        <v>391</v>
      </c>
      <c r="O79" s="128" t="str">
        <f t="shared" si="37"/>
        <v>NA</v>
      </c>
      <c r="P79" s="126">
        <v>4.2921099074001816E-3</v>
      </c>
      <c r="Q79" s="128">
        <f t="shared" si="31"/>
        <v>152720.99201102191</v>
      </c>
      <c r="R79" s="126">
        <v>4.2921099074001816E-3</v>
      </c>
      <c r="S79" s="128">
        <f t="shared" si="32"/>
        <v>174033.06458999609</v>
      </c>
      <c r="T79" s="126">
        <v>4.2921099074001816E-3</v>
      </c>
      <c r="U79" s="128">
        <f t="shared" si="33"/>
        <v>168644.32060125517</v>
      </c>
      <c r="V79" s="126">
        <v>4.2921099074001816E-3</v>
      </c>
      <c r="W79" s="128">
        <f t="shared" si="34"/>
        <v>27636.917154299303</v>
      </c>
      <c r="X79" s="131">
        <v>3.3336302367991174E-3</v>
      </c>
      <c r="Y79" s="128">
        <f t="shared" si="35"/>
        <v>382803.5436728904</v>
      </c>
      <c r="Z79" s="133" t="e">
        <f t="shared" si="38"/>
        <v>#VALUE!</v>
      </c>
      <c r="AA79" s="134">
        <v>4.3718235838811573E-3</v>
      </c>
      <c r="AB79" s="135">
        <f t="shared" si="39"/>
        <v>20835825.523042139</v>
      </c>
      <c r="AD79" s="136">
        <v>20666890</v>
      </c>
      <c r="AE79" s="137">
        <f t="shared" si="40"/>
        <v>-8.1079351934155719E-3</v>
      </c>
      <c r="AP79" s="138" t="s">
        <v>207</v>
      </c>
      <c r="AQ79">
        <v>13145215.26</v>
      </c>
      <c r="AR79">
        <v>5062549.1900000004</v>
      </c>
      <c r="AS79">
        <v>460754.48000000004</v>
      </c>
      <c r="AT79">
        <v>1224860.5399999998</v>
      </c>
      <c r="AU79">
        <v>36607.209999999992</v>
      </c>
      <c r="AV79"/>
      <c r="AW79">
        <v>152720.99000000002</v>
      </c>
      <c r="AX79">
        <v>174033.06</v>
      </c>
      <c r="AY79">
        <v>168644.31999999998</v>
      </c>
      <c r="AZ79">
        <v>27636.910000000003</v>
      </c>
      <c r="BA79">
        <v>382803.55000000005</v>
      </c>
      <c r="BB79">
        <v>20835825.510000002</v>
      </c>
      <c r="BD79" s="138" t="s">
        <v>207</v>
      </c>
      <c r="BE79" s="139">
        <f t="shared" si="41"/>
        <v>5.3354129195213318E-3</v>
      </c>
      <c r="BF79" s="140">
        <f t="shared" si="42"/>
        <v>4.523376002907753E-3</v>
      </c>
      <c r="BG79" s="140">
        <f t="shared" si="43"/>
        <v>-1.3847044319845736E-2</v>
      </c>
      <c r="BH79" s="140">
        <f t="shared" si="44"/>
        <v>1.5792413614690304E-2</v>
      </c>
      <c r="BI79" s="140">
        <f t="shared" si="45"/>
        <v>2.2552703230758198E-3</v>
      </c>
      <c r="BJ79" s="140">
        <f t="shared" si="46"/>
        <v>0</v>
      </c>
      <c r="BK79" s="140">
        <f t="shared" si="47"/>
        <v>2.0110218902118504E-3</v>
      </c>
      <c r="BL79" s="140">
        <f t="shared" si="48"/>
        <v>4.5899960969109088E-3</v>
      </c>
      <c r="BM79" s="140">
        <f t="shared" si="49"/>
        <v>-6.0125518939457834E-4</v>
      </c>
      <c r="BN79" s="140">
        <f t="shared" si="50"/>
        <v>7.1542992991453502E-3</v>
      </c>
      <c r="BO79" s="140">
        <f t="shared" si="51"/>
        <v>-6.327109644189477E-3</v>
      </c>
      <c r="BP79" s="140">
        <f t="shared" si="52"/>
        <v>1.3042137026786804E-2</v>
      </c>
    </row>
    <row r="80" spans="1:68" ht="15" x14ac:dyDescent="0.25">
      <c r="A80" s="98">
        <v>74</v>
      </c>
      <c r="B80" s="124">
        <v>2</v>
      </c>
      <c r="C80" s="141" t="s">
        <v>480</v>
      </c>
      <c r="D80" s="126">
        <v>3.6527663976576585E-3</v>
      </c>
      <c r="E80" s="128">
        <f t="shared" si="28"/>
        <v>11187132.120826377</v>
      </c>
      <c r="F80" s="126">
        <v>3.6527663976576585E-3</v>
      </c>
      <c r="G80" s="128">
        <f t="shared" si="36"/>
        <v>4308442.68906416</v>
      </c>
      <c r="H80" s="126">
        <v>3.6527663976576585E-3</v>
      </c>
      <c r="I80" s="128">
        <f t="shared" si="53"/>
        <v>392121.46656180435</v>
      </c>
      <c r="J80" s="126">
        <v>3.6527663976576585E-3</v>
      </c>
      <c r="K80" s="128">
        <f t="shared" si="53"/>
        <v>1042407.9477323737</v>
      </c>
      <c r="L80" s="126">
        <v>3.6527663976576585E-3</v>
      </c>
      <c r="M80" s="128">
        <f t="shared" si="30"/>
        <v>31154.280231134275</v>
      </c>
      <c r="N80" s="129" t="s">
        <v>391</v>
      </c>
      <c r="O80" s="128" t="str">
        <f t="shared" si="37"/>
        <v>NA</v>
      </c>
      <c r="P80" s="126">
        <v>3.6527663976576585E-3</v>
      </c>
      <c r="Q80" s="128">
        <f t="shared" si="31"/>
        <v>129971.99975540891</v>
      </c>
      <c r="R80" s="126">
        <v>3.6527663976576585E-3</v>
      </c>
      <c r="S80" s="128">
        <f t="shared" si="32"/>
        <v>148109.47159570298</v>
      </c>
      <c r="T80" s="126">
        <v>3.6527663976576585E-3</v>
      </c>
      <c r="U80" s="128">
        <f t="shared" si="33"/>
        <v>143523.42338344382</v>
      </c>
      <c r="V80" s="126">
        <v>3.6527663976576585E-3</v>
      </c>
      <c r="W80" s="128">
        <f t="shared" si="34"/>
        <v>23520.181098349647</v>
      </c>
      <c r="X80" s="131">
        <v>1.866067860124145E-3</v>
      </c>
      <c r="Y80" s="128">
        <f t="shared" si="35"/>
        <v>214282.13054471876</v>
      </c>
      <c r="Z80" s="133" t="e">
        <f t="shared" si="38"/>
        <v>#VALUE!</v>
      </c>
      <c r="AA80" s="134">
        <v>3.9612119386651899E-3</v>
      </c>
      <c r="AB80" s="135">
        <f t="shared" si="39"/>
        <v>17620665.710793473</v>
      </c>
      <c r="AD80" s="142">
        <v>17476893</v>
      </c>
      <c r="AE80" s="137">
        <f t="shared" si="40"/>
        <v>-8.1593234417588478E-3</v>
      </c>
      <c r="AP80" s="138" t="s">
        <v>481</v>
      </c>
      <c r="AQ80">
        <v>11187132.130000001</v>
      </c>
      <c r="AR80">
        <v>4308442.6999999993</v>
      </c>
      <c r="AS80">
        <v>392121.45</v>
      </c>
      <c r="AT80">
        <v>1042407.9099999999</v>
      </c>
      <c r="AU80">
        <v>31154.289999999994</v>
      </c>
      <c r="AV80"/>
      <c r="AW80">
        <v>129972</v>
      </c>
      <c r="AX80">
        <v>148109.47</v>
      </c>
      <c r="AY80">
        <v>143523.43000000002</v>
      </c>
      <c r="AZ80">
        <v>23520.18</v>
      </c>
      <c r="BA80">
        <v>214282.13</v>
      </c>
      <c r="BB80">
        <v>17620665.689999998</v>
      </c>
      <c r="BD80" s="138" t="s">
        <v>481</v>
      </c>
      <c r="BE80" s="139">
        <f t="shared" si="41"/>
        <v>-9.1736242175102234E-3</v>
      </c>
      <c r="BF80" s="140">
        <f t="shared" si="42"/>
        <v>1.0935839265584946E-2</v>
      </c>
      <c r="BG80" s="140">
        <f t="shared" si="43"/>
        <v>1.6561804339289665E-2</v>
      </c>
      <c r="BH80" s="140">
        <f t="shared" si="44"/>
        <v>3.7732373806647956E-2</v>
      </c>
      <c r="BI80" s="140">
        <f t="shared" si="45"/>
        <v>-9.7688657187973149E-3</v>
      </c>
      <c r="BJ80" s="140">
        <f t="shared" si="46"/>
        <v>0</v>
      </c>
      <c r="BK80" s="140">
        <f t="shared" si="47"/>
        <v>-2.4459109408780932E-4</v>
      </c>
      <c r="BL80" s="140">
        <f t="shared" si="48"/>
        <v>1.5957029827404767E-3</v>
      </c>
      <c r="BM80" s="140">
        <f t="shared" si="49"/>
        <v>6.6165562020614743E-3</v>
      </c>
      <c r="BN80" s="140">
        <f t="shared" si="50"/>
        <v>1.0983496467815712E-3</v>
      </c>
      <c r="BO80" s="140">
        <f t="shared" si="51"/>
        <v>5.4471875773742795E-4</v>
      </c>
      <c r="BP80" s="140">
        <f t="shared" si="52"/>
        <v>2.0793475210666656E-2</v>
      </c>
    </row>
    <row r="81" spans="1:68" ht="15" x14ac:dyDescent="0.25">
      <c r="A81" s="98">
        <v>75</v>
      </c>
      <c r="B81" s="124">
        <v>7</v>
      </c>
      <c r="C81" s="141" t="s">
        <v>482</v>
      </c>
      <c r="D81" s="126">
        <v>4.5982316740758892E-3</v>
      </c>
      <c r="E81" s="128">
        <f t="shared" si="28"/>
        <v>14082758.014047176</v>
      </c>
      <c r="F81" s="126">
        <v>4.5982316740758892E-3</v>
      </c>
      <c r="G81" s="128">
        <f t="shared" si="36"/>
        <v>5423620.2050860655</v>
      </c>
      <c r="H81" s="126">
        <v>4.5982316740758892E-3</v>
      </c>
      <c r="I81" s="128">
        <f t="shared" si="53"/>
        <v>493616.38586737897</v>
      </c>
      <c r="J81" s="126">
        <v>4.5982316740758892E-3</v>
      </c>
      <c r="K81" s="128">
        <f t="shared" si="53"/>
        <v>1312220.0329167263</v>
      </c>
      <c r="L81" s="126">
        <v>4.5982316740758892E-3</v>
      </c>
      <c r="M81" s="128">
        <f t="shared" si="30"/>
        <v>39218.111027767925</v>
      </c>
      <c r="N81" s="129" t="s">
        <v>391</v>
      </c>
      <c r="O81" s="128" t="str">
        <f t="shared" si="37"/>
        <v>NA</v>
      </c>
      <c r="P81" s="126">
        <v>4.5982316740758892E-3</v>
      </c>
      <c r="Q81" s="128">
        <f t="shared" si="31"/>
        <v>163613.35518240184</v>
      </c>
      <c r="R81" s="126">
        <v>4.5982316740758892E-3</v>
      </c>
      <c r="S81" s="128">
        <f t="shared" si="32"/>
        <v>186445.44692447994</v>
      </c>
      <c r="T81" s="126">
        <v>4.5982316740758892E-3</v>
      </c>
      <c r="U81" s="128">
        <f t="shared" si="33"/>
        <v>180672.36705767765</v>
      </c>
      <c r="V81" s="126">
        <v>4.5982316740758892E-3</v>
      </c>
      <c r="W81" s="128">
        <f t="shared" si="34"/>
        <v>29608.036740533018</v>
      </c>
      <c r="X81" s="131">
        <v>3.7825632446180394E-3</v>
      </c>
      <c r="Y81" s="128">
        <f t="shared" si="35"/>
        <v>434354.89581979875</v>
      </c>
      <c r="Z81" s="133" t="e">
        <f t="shared" si="38"/>
        <v>#VALUE!</v>
      </c>
      <c r="AA81" s="134">
        <v>4.87371320229045E-3</v>
      </c>
      <c r="AB81" s="135">
        <f t="shared" si="39"/>
        <v>22346126.85067001</v>
      </c>
      <c r="AD81" s="136">
        <v>22165142</v>
      </c>
      <c r="AE81" s="137">
        <f t="shared" si="40"/>
        <v>-8.0991597281917516E-3</v>
      </c>
      <c r="AP81" s="138" t="s">
        <v>208</v>
      </c>
      <c r="AQ81">
        <v>14082758.039999999</v>
      </c>
      <c r="AR81">
        <v>5423620.2000000002</v>
      </c>
      <c r="AS81">
        <v>493616.37999999989</v>
      </c>
      <c r="AT81">
        <v>1312220.04</v>
      </c>
      <c r="AU81">
        <v>39218.05999999999</v>
      </c>
      <c r="AV81"/>
      <c r="AW81">
        <v>163613.34999999998</v>
      </c>
      <c r="AX81">
        <v>186445.43000000002</v>
      </c>
      <c r="AY81">
        <v>180672.37</v>
      </c>
      <c r="AZ81">
        <v>29608.019999999997</v>
      </c>
      <c r="BA81">
        <v>434354.92000000004</v>
      </c>
      <c r="BB81">
        <v>22346126.809999999</v>
      </c>
      <c r="BD81" s="138" t="s">
        <v>208</v>
      </c>
      <c r="BE81" s="139">
        <f t="shared" si="41"/>
        <v>-2.5952823460102081E-2</v>
      </c>
      <c r="BF81" s="140">
        <f t="shared" si="42"/>
        <v>-5.0860652700066566E-3</v>
      </c>
      <c r="BG81" s="140">
        <f t="shared" si="43"/>
        <v>5.86737907724455E-3</v>
      </c>
      <c r="BH81" s="140">
        <f t="shared" si="44"/>
        <v>-7.0832737255841494E-3</v>
      </c>
      <c r="BI81" s="140">
        <f t="shared" si="45"/>
        <v>5.102776793501107E-2</v>
      </c>
      <c r="BJ81" s="140">
        <f t="shared" si="46"/>
        <v>0</v>
      </c>
      <c r="BK81" s="140">
        <f t="shared" si="47"/>
        <v>5.1824018592014909E-3</v>
      </c>
      <c r="BL81" s="140">
        <f t="shared" si="48"/>
        <v>1.6924479918088764E-2</v>
      </c>
      <c r="BM81" s="140">
        <f t="shared" si="49"/>
        <v>2.9423223459161818E-3</v>
      </c>
      <c r="BN81" s="140">
        <f t="shared" si="50"/>
        <v>1.6740533021220472E-2</v>
      </c>
      <c r="BO81" s="140">
        <f t="shared" si="51"/>
        <v>-2.4180201289709657E-2</v>
      </c>
      <c r="BP81" s="140">
        <f t="shared" si="52"/>
        <v>4.0670011192560196E-2</v>
      </c>
    </row>
    <row r="82" spans="1:68" ht="15" x14ac:dyDescent="0.25">
      <c r="A82" s="98">
        <v>76</v>
      </c>
      <c r="B82" s="124">
        <v>2</v>
      </c>
      <c r="C82" s="143" t="s">
        <v>483</v>
      </c>
      <c r="D82" s="126">
        <v>7.8049974320649326E-3</v>
      </c>
      <c r="E82" s="128">
        <f t="shared" si="28"/>
        <v>23903947.849282727</v>
      </c>
      <c r="F82" s="126">
        <v>7.8049974320649326E-3</v>
      </c>
      <c r="G82" s="128">
        <f t="shared" si="36"/>
        <v>9206004.5629822668</v>
      </c>
      <c r="H82" s="126">
        <v>7.8049974320649326E-3</v>
      </c>
      <c r="I82" s="128">
        <f t="shared" si="53"/>
        <v>837860.05081928393</v>
      </c>
      <c r="J82" s="126">
        <v>7.8049974320649326E-3</v>
      </c>
      <c r="K82" s="128">
        <f t="shared" si="53"/>
        <v>2227350.5802157149</v>
      </c>
      <c r="L82" s="126">
        <v>7.8049974320649326E-3</v>
      </c>
      <c r="M82" s="128">
        <f t="shared" si="30"/>
        <v>66568.47187319737</v>
      </c>
      <c r="N82" s="129" t="s">
        <v>391</v>
      </c>
      <c r="O82" s="128" t="str">
        <f t="shared" si="37"/>
        <v>NA</v>
      </c>
      <c r="P82" s="126">
        <v>7.8049974320649326E-3</v>
      </c>
      <c r="Q82" s="128">
        <f t="shared" si="31"/>
        <v>277715.84982325067</v>
      </c>
      <c r="R82" s="126">
        <v>7.8049974320649326E-3</v>
      </c>
      <c r="S82" s="128">
        <f t="shared" si="32"/>
        <v>316470.83870740782</v>
      </c>
      <c r="T82" s="126">
        <v>7.8049974320649326E-3</v>
      </c>
      <c r="U82" s="128">
        <f t="shared" si="33"/>
        <v>306671.66443145031</v>
      </c>
      <c r="V82" s="126">
        <v>7.8049974320649326E-3</v>
      </c>
      <c r="W82" s="128">
        <f t="shared" si="34"/>
        <v>50256.417490053253</v>
      </c>
      <c r="X82" s="131">
        <v>9.0129422076440664E-3</v>
      </c>
      <c r="Y82" s="128">
        <f t="shared" si="35"/>
        <v>1034963.6795105116</v>
      </c>
      <c r="Z82" s="133" t="e">
        <f t="shared" si="38"/>
        <v>#VALUE!</v>
      </c>
      <c r="AA82" s="134">
        <v>8.1272577056026897E-3</v>
      </c>
      <c r="AB82" s="135">
        <f t="shared" si="39"/>
        <v>38227809.965135865</v>
      </c>
      <c r="AD82" s="142">
        <v>37920609</v>
      </c>
      <c r="AE82" s="137">
        <f t="shared" si="40"/>
        <v>-8.0360597537770806E-3</v>
      </c>
      <c r="AP82" s="138" t="s">
        <v>209</v>
      </c>
      <c r="AQ82">
        <v>23903947.840000004</v>
      </c>
      <c r="AR82">
        <v>9206004.5699999984</v>
      </c>
      <c r="AS82">
        <v>837860.06</v>
      </c>
      <c r="AT82">
        <v>2227350.6</v>
      </c>
      <c r="AU82">
        <v>66568.460000000006</v>
      </c>
      <c r="AV82"/>
      <c r="AW82">
        <v>277715.84999999998</v>
      </c>
      <c r="AX82">
        <v>316470.84000000003</v>
      </c>
      <c r="AY82">
        <v>306671.69000000006</v>
      </c>
      <c r="AZ82">
        <v>50256.42</v>
      </c>
      <c r="BA82">
        <v>1034963.67</v>
      </c>
      <c r="BB82">
        <v>38227810.000000007</v>
      </c>
      <c r="BD82" s="138" t="s">
        <v>209</v>
      </c>
      <c r="BE82" s="139">
        <f t="shared" si="41"/>
        <v>9.282723069190979E-3</v>
      </c>
      <c r="BF82" s="140">
        <f t="shared" si="42"/>
        <v>7.0177316665649414E-3</v>
      </c>
      <c r="BG82" s="140">
        <f t="shared" si="43"/>
        <v>-9.1807161225005984E-3</v>
      </c>
      <c r="BH82" s="140">
        <f t="shared" si="44"/>
        <v>-1.9784285221248865E-2</v>
      </c>
      <c r="BI82" s="140">
        <f t="shared" si="45"/>
        <v>1.1873197363456711E-2</v>
      </c>
      <c r="BJ82" s="140">
        <f t="shared" si="46"/>
        <v>0</v>
      </c>
      <c r="BK82" s="140">
        <f t="shared" si="47"/>
        <v>-1.7674930859357119E-4</v>
      </c>
      <c r="BL82" s="140">
        <f t="shared" si="48"/>
        <v>-1.2925922055728734E-3</v>
      </c>
      <c r="BM82" s="140">
        <f t="shared" si="49"/>
        <v>2.5568549754098058E-2</v>
      </c>
      <c r="BN82" s="140">
        <f t="shared" si="50"/>
        <v>-2.5099467457039282E-3</v>
      </c>
      <c r="BO82" s="140">
        <f t="shared" si="51"/>
        <v>9.5105115324258804E-3</v>
      </c>
      <c r="BP82" s="140">
        <f t="shared" si="52"/>
        <v>-3.4864142537117004E-2</v>
      </c>
    </row>
    <row r="83" spans="1:68" ht="15" x14ac:dyDescent="0.25">
      <c r="A83" s="98">
        <v>77</v>
      </c>
      <c r="B83" s="124">
        <v>3</v>
      </c>
      <c r="C83" s="143" t="s">
        <v>484</v>
      </c>
      <c r="D83" s="126">
        <v>3.3424669693979795E-3</v>
      </c>
      <c r="E83" s="128">
        <f t="shared" si="28"/>
        <v>10236794.671603253</v>
      </c>
      <c r="F83" s="126">
        <v>3.3424669693979795E-3</v>
      </c>
      <c r="G83" s="128">
        <f t="shared" si="36"/>
        <v>3942444.1122147082</v>
      </c>
      <c r="H83" s="126">
        <v>3.3424669693979795E-3</v>
      </c>
      <c r="I83" s="128">
        <f t="shared" si="53"/>
        <v>358811.07831455726</v>
      </c>
      <c r="J83" s="126">
        <v>3.3424669693979795E-3</v>
      </c>
      <c r="K83" s="128">
        <f t="shared" si="53"/>
        <v>953856.27073432656</v>
      </c>
      <c r="L83" s="126">
        <v>3.3424669693979795E-3</v>
      </c>
      <c r="M83" s="128">
        <f t="shared" si="30"/>
        <v>28507.750370981743</v>
      </c>
      <c r="N83" s="129" t="s">
        <v>391</v>
      </c>
      <c r="O83" s="128" t="str">
        <f t="shared" si="37"/>
        <v>NA</v>
      </c>
      <c r="P83" s="126">
        <v>3.3424669693979795E-3</v>
      </c>
      <c r="Q83" s="128">
        <f t="shared" si="31"/>
        <v>118930.98786925808</v>
      </c>
      <c r="R83" s="126">
        <v>3.3424669693979795E-3</v>
      </c>
      <c r="S83" s="128">
        <f t="shared" si="32"/>
        <v>135527.69675637558</v>
      </c>
      <c r="T83" s="126">
        <v>3.3424669693979795E-3</v>
      </c>
      <c r="U83" s="128">
        <f t="shared" si="33"/>
        <v>131331.2294762964</v>
      </c>
      <c r="V83" s="126">
        <v>3.3424669693979795E-3</v>
      </c>
      <c r="W83" s="128">
        <f t="shared" si="34"/>
        <v>21522.161528288434</v>
      </c>
      <c r="X83" s="131">
        <v>1.4658273057510385E-3</v>
      </c>
      <c r="Y83" s="128">
        <f t="shared" si="35"/>
        <v>168322.17348519206</v>
      </c>
      <c r="Z83" s="133" t="e">
        <f t="shared" si="38"/>
        <v>#VALUE!</v>
      </c>
      <c r="AA83" s="134">
        <v>3.6628110504881295E-3</v>
      </c>
      <c r="AB83" s="135">
        <f t="shared" si="39"/>
        <v>16096048.132353241</v>
      </c>
      <c r="AD83" s="136">
        <v>15964490</v>
      </c>
      <c r="AE83" s="137">
        <f t="shared" si="40"/>
        <v>-8.1733187718796563E-3</v>
      </c>
      <c r="AP83" s="138" t="s">
        <v>485</v>
      </c>
      <c r="AQ83">
        <v>10236794.66</v>
      </c>
      <c r="AR83">
        <v>3942444.12</v>
      </c>
      <c r="AS83">
        <v>358811.08999999997</v>
      </c>
      <c r="AT83">
        <v>953856.24</v>
      </c>
      <c r="AU83">
        <v>28507.810000000005</v>
      </c>
      <c r="AV83"/>
      <c r="AW83">
        <v>118931.00000000001</v>
      </c>
      <c r="AX83">
        <v>135527.72</v>
      </c>
      <c r="AY83">
        <v>131331.22999999998</v>
      </c>
      <c r="AZ83">
        <v>21522.17</v>
      </c>
      <c r="BA83">
        <v>168322.16999999998</v>
      </c>
      <c r="BB83">
        <v>16096048.210000003</v>
      </c>
      <c r="BD83" s="138" t="s">
        <v>485</v>
      </c>
      <c r="BE83" s="139">
        <f t="shared" si="41"/>
        <v>1.1603252962231636E-2</v>
      </c>
      <c r="BF83" s="140">
        <f t="shared" si="42"/>
        <v>7.7852918766438961E-3</v>
      </c>
      <c r="BG83" s="140">
        <f t="shared" si="43"/>
        <v>-1.16854427033104E-2</v>
      </c>
      <c r="BH83" s="140">
        <f t="shared" si="44"/>
        <v>3.0734326574020088E-2</v>
      </c>
      <c r="BI83" s="140">
        <f t="shared" si="45"/>
        <v>-5.9629018262057798E-2</v>
      </c>
      <c r="BJ83" s="140">
        <f t="shared" si="46"/>
        <v>0</v>
      </c>
      <c r="BK83" s="140">
        <f t="shared" si="47"/>
        <v>-1.2130741932196543E-2</v>
      </c>
      <c r="BL83" s="140">
        <f t="shared" si="48"/>
        <v>-2.3243624425958842E-2</v>
      </c>
      <c r="BM83" s="140">
        <f t="shared" si="49"/>
        <v>5.237035802565515E-4</v>
      </c>
      <c r="BN83" s="140">
        <f t="shared" si="50"/>
        <v>-8.4717115641979035E-3</v>
      </c>
      <c r="BO83" s="140">
        <f t="shared" si="51"/>
        <v>3.4851920790970325E-3</v>
      </c>
      <c r="BP83" s="140">
        <f t="shared" si="52"/>
        <v>-7.7646762132644653E-2</v>
      </c>
    </row>
    <row r="84" spans="1:68" ht="15" x14ac:dyDescent="0.25">
      <c r="A84" s="98">
        <v>78</v>
      </c>
      <c r="B84" s="124">
        <v>3</v>
      </c>
      <c r="C84" s="141" t="s">
        <v>486</v>
      </c>
      <c r="D84" s="126">
        <v>3.6502362979324143E-3</v>
      </c>
      <c r="E84" s="128">
        <f t="shared" si="28"/>
        <v>11179383.319829049</v>
      </c>
      <c r="F84" s="126">
        <v>3.6502362979324143E-3</v>
      </c>
      <c r="G84" s="128">
        <f t="shared" si="36"/>
        <v>4305458.4331668159</v>
      </c>
      <c r="H84" s="126">
        <v>3.6502362979324143E-3</v>
      </c>
      <c r="I84" s="128">
        <f t="shared" si="53"/>
        <v>391849.86243857146</v>
      </c>
      <c r="J84" s="126">
        <v>3.6502362979324143E-3</v>
      </c>
      <c r="K84" s="128">
        <f t="shared" si="53"/>
        <v>1041685.9207054493</v>
      </c>
      <c r="L84" s="126">
        <v>3.6502362979324143E-3</v>
      </c>
      <c r="M84" s="128">
        <f t="shared" si="30"/>
        <v>31132.701124432155</v>
      </c>
      <c r="N84" s="129" t="s">
        <v>391</v>
      </c>
      <c r="O84" s="128" t="str">
        <f t="shared" si="37"/>
        <v>NA</v>
      </c>
      <c r="P84" s="126">
        <v>3.6502362979324143E-3</v>
      </c>
      <c r="Q84" s="128">
        <f t="shared" si="31"/>
        <v>129881.9742555353</v>
      </c>
      <c r="R84" s="126">
        <v>3.6502362979324143E-3</v>
      </c>
      <c r="S84" s="128">
        <f t="shared" si="32"/>
        <v>148006.88312094298</v>
      </c>
      <c r="T84" s="126">
        <v>3.6502362979324143E-3</v>
      </c>
      <c r="U84" s="128">
        <f t="shared" si="33"/>
        <v>143424.01144888884</v>
      </c>
      <c r="V84" s="126">
        <v>3.6502362979324143E-3</v>
      </c>
      <c r="W84" s="128">
        <f t="shared" si="34"/>
        <v>23503.889773568302</v>
      </c>
      <c r="X84" s="131">
        <v>1.9031193523737109E-3</v>
      </c>
      <c r="Y84" s="128">
        <f t="shared" si="35"/>
        <v>218536.78433773245</v>
      </c>
      <c r="Z84" s="133" t="e">
        <f t="shared" si="38"/>
        <v>#VALUE!</v>
      </c>
      <c r="AA84" s="134">
        <v>3.9820694510040548E-3</v>
      </c>
      <c r="AB84" s="135">
        <f t="shared" si="39"/>
        <v>17612863.780200988</v>
      </c>
      <c r="AD84" s="142">
        <v>17469193</v>
      </c>
      <c r="AE84" s="137">
        <f t="shared" si="40"/>
        <v>-8.1571504778508164E-3</v>
      </c>
      <c r="AP84" s="138" t="s">
        <v>210</v>
      </c>
      <c r="AQ84">
        <v>11179383.310000001</v>
      </c>
      <c r="AR84">
        <v>4305458.4400000004</v>
      </c>
      <c r="AS84">
        <v>391849.87</v>
      </c>
      <c r="AT84">
        <v>1041685.9</v>
      </c>
      <c r="AU84">
        <v>31132.689999999995</v>
      </c>
      <c r="AV84"/>
      <c r="AW84">
        <v>129881.98</v>
      </c>
      <c r="AX84">
        <v>148006.87</v>
      </c>
      <c r="AY84">
        <v>143424.01999999999</v>
      </c>
      <c r="AZ84">
        <v>23503.89</v>
      </c>
      <c r="BA84">
        <v>218536.79</v>
      </c>
      <c r="BB84">
        <v>17612863.760000002</v>
      </c>
      <c r="BD84" s="138" t="s">
        <v>210</v>
      </c>
      <c r="BE84" s="139">
        <f t="shared" si="41"/>
        <v>9.8290480673313141E-3</v>
      </c>
      <c r="BF84" s="140">
        <f t="shared" si="42"/>
        <v>6.8331845104694366E-3</v>
      </c>
      <c r="BG84" s="140">
        <f t="shared" si="43"/>
        <v>-7.5614285306073725E-3</v>
      </c>
      <c r="BH84" s="140">
        <f t="shared" si="44"/>
        <v>2.0705449278466403E-2</v>
      </c>
      <c r="BI84" s="140">
        <f t="shared" si="45"/>
        <v>1.1124432159704156E-2</v>
      </c>
      <c r="BJ84" s="140">
        <f t="shared" si="46"/>
        <v>0</v>
      </c>
      <c r="BK84" s="140">
        <f t="shared" si="47"/>
        <v>-5.7444646954536438E-3</v>
      </c>
      <c r="BL84" s="140">
        <f t="shared" si="48"/>
        <v>1.3120942981913686E-2</v>
      </c>
      <c r="BM84" s="140">
        <f t="shared" si="49"/>
        <v>8.5511111537925899E-3</v>
      </c>
      <c r="BN84" s="140">
        <f t="shared" si="50"/>
        <v>-2.2643169722869061E-4</v>
      </c>
      <c r="BO84" s="140">
        <f t="shared" si="51"/>
        <v>-5.6622675620019436E-3</v>
      </c>
      <c r="BP84" s="140">
        <f t="shared" si="52"/>
        <v>2.0200986415147781E-2</v>
      </c>
    </row>
    <row r="85" spans="1:68" ht="15" x14ac:dyDescent="0.25">
      <c r="A85" s="98">
        <v>79</v>
      </c>
      <c r="B85" s="124">
        <v>7</v>
      </c>
      <c r="C85" s="141" t="s">
        <v>487</v>
      </c>
      <c r="D85" s="126">
        <v>1.5743138748336789E-2</v>
      </c>
      <c r="E85" s="128">
        <f t="shared" si="28"/>
        <v>48215668.345800161</v>
      </c>
      <c r="F85" s="126">
        <v>1.5743138748336789E-2</v>
      </c>
      <c r="G85" s="128">
        <f t="shared" si="36"/>
        <v>18569052.509541646</v>
      </c>
      <c r="H85" s="126">
        <v>1.5743138748336789E-2</v>
      </c>
      <c r="I85" s="128">
        <f t="shared" si="53"/>
        <v>1690012.9880307643</v>
      </c>
      <c r="J85" s="126">
        <v>1.5743138748336789E-2</v>
      </c>
      <c r="K85" s="128">
        <f t="shared" si="53"/>
        <v>4492697.0868006209</v>
      </c>
      <c r="L85" s="126">
        <v>1.5743138748336789E-2</v>
      </c>
      <c r="M85" s="128">
        <f t="shared" si="30"/>
        <v>134272.52194332078</v>
      </c>
      <c r="N85" s="129" t="s">
        <v>391</v>
      </c>
      <c r="O85" s="128" t="str">
        <f t="shared" si="37"/>
        <v>NA</v>
      </c>
      <c r="P85" s="126">
        <v>1.5743138748336789E-2</v>
      </c>
      <c r="Q85" s="128">
        <f t="shared" si="31"/>
        <v>560169.19857243134</v>
      </c>
      <c r="R85" s="126">
        <v>1.5743138748336789E-2</v>
      </c>
      <c r="S85" s="128">
        <f t="shared" si="32"/>
        <v>638340.28991539392</v>
      </c>
      <c r="T85" s="126">
        <v>1.5743138748336789E-2</v>
      </c>
      <c r="U85" s="128">
        <f t="shared" si="33"/>
        <v>618574.77921685704</v>
      </c>
      <c r="V85" s="126">
        <v>1.5743138748336789E-2</v>
      </c>
      <c r="W85" s="128">
        <f t="shared" si="34"/>
        <v>101370.14911623432</v>
      </c>
      <c r="X85" s="131">
        <v>2.1951546699239655E-2</v>
      </c>
      <c r="Y85" s="128">
        <f t="shared" si="35"/>
        <v>2520714.4370151833</v>
      </c>
      <c r="Z85" s="133" t="e">
        <f t="shared" si="38"/>
        <v>#VALUE!</v>
      </c>
      <c r="AA85" s="134">
        <v>1.615819243799891E-2</v>
      </c>
      <c r="AB85" s="135">
        <f t="shared" si="39"/>
        <v>77540872.305952609</v>
      </c>
      <c r="AD85" s="136">
        <v>76921228</v>
      </c>
      <c r="AE85" s="137">
        <f t="shared" si="40"/>
        <v>-7.9911959657570364E-3</v>
      </c>
      <c r="AP85" s="138" t="s">
        <v>211</v>
      </c>
      <c r="AQ85">
        <v>48215668.340000004</v>
      </c>
      <c r="AR85">
        <v>18569052.5</v>
      </c>
      <c r="AS85">
        <v>1690012.9900000002</v>
      </c>
      <c r="AT85">
        <v>4492697.0599999996</v>
      </c>
      <c r="AU85">
        <v>134272.49</v>
      </c>
      <c r="AV85"/>
      <c r="AW85">
        <v>560169.20000000007</v>
      </c>
      <c r="AX85">
        <v>638340.29</v>
      </c>
      <c r="AY85">
        <v>618574.76</v>
      </c>
      <c r="AZ85">
        <v>101370.16</v>
      </c>
      <c r="BA85">
        <v>2520714.4300000002</v>
      </c>
      <c r="BB85">
        <v>77540872.220000014</v>
      </c>
      <c r="BD85" s="138" t="s">
        <v>211</v>
      </c>
      <c r="BE85" s="139">
        <f t="shared" si="41"/>
        <v>5.8001577854156494E-3</v>
      </c>
      <c r="BF85" s="140">
        <f t="shared" si="42"/>
        <v>-9.5416456460952759E-3</v>
      </c>
      <c r="BG85" s="140">
        <f t="shared" si="43"/>
        <v>-1.9692359492182732E-3</v>
      </c>
      <c r="BH85" s="140">
        <f t="shared" si="44"/>
        <v>2.6800621300935745E-2</v>
      </c>
      <c r="BI85" s="140">
        <f t="shared" si="45"/>
        <v>3.1943320791469887E-2</v>
      </c>
      <c r="BJ85" s="140">
        <f t="shared" si="46"/>
        <v>0</v>
      </c>
      <c r="BK85" s="140">
        <f t="shared" si="47"/>
        <v>-1.4275687281042337E-3</v>
      </c>
      <c r="BL85" s="140">
        <f t="shared" si="48"/>
        <v>-8.4606115706264973E-5</v>
      </c>
      <c r="BM85" s="140">
        <f t="shared" si="49"/>
        <v>-1.9216857035644352E-2</v>
      </c>
      <c r="BN85" s="140">
        <f t="shared" si="50"/>
        <v>-1.0883765688049607E-2</v>
      </c>
      <c r="BO85" s="140">
        <f t="shared" si="51"/>
        <v>7.0151831023395061E-3</v>
      </c>
      <c r="BP85" s="140">
        <f t="shared" si="52"/>
        <v>8.5952594876289368E-2</v>
      </c>
    </row>
    <row r="86" spans="1:68" ht="15" x14ac:dyDescent="0.25">
      <c r="A86" s="98">
        <v>80</v>
      </c>
      <c r="B86" s="124">
        <v>7</v>
      </c>
      <c r="C86" s="141" t="s">
        <v>488</v>
      </c>
      <c r="D86" s="126">
        <v>5.755369550474722E-3</v>
      </c>
      <c r="E86" s="128">
        <f t="shared" si="28"/>
        <v>17626662.248817634</v>
      </c>
      <c r="F86" s="126">
        <v>5.755369550474722E-3</v>
      </c>
      <c r="G86" s="128">
        <f t="shared" si="36"/>
        <v>6788465.8264777632</v>
      </c>
      <c r="H86" s="126">
        <v>5.755369550474722E-3</v>
      </c>
      <c r="I86" s="128">
        <f t="shared" si="53"/>
        <v>617834.18457432138</v>
      </c>
      <c r="J86" s="126">
        <v>5.755369550474722E-3</v>
      </c>
      <c r="K86" s="128">
        <f t="shared" si="53"/>
        <v>1642438.1710801162</v>
      </c>
      <c r="L86" s="126">
        <v>5.755369550474722E-3</v>
      </c>
      <c r="M86" s="128">
        <f t="shared" si="30"/>
        <v>49087.287904369136</v>
      </c>
      <c r="N86" s="129" t="s">
        <v>391</v>
      </c>
      <c r="O86" s="128" t="str">
        <f t="shared" si="37"/>
        <v>NA</v>
      </c>
      <c r="P86" s="126">
        <v>5.755369550474722E-3</v>
      </c>
      <c r="Q86" s="128">
        <f t="shared" si="31"/>
        <v>204786.40251571196</v>
      </c>
      <c r="R86" s="126">
        <v>5.755369550474722E-3</v>
      </c>
      <c r="S86" s="128">
        <f t="shared" si="32"/>
        <v>233364.15476922595</v>
      </c>
      <c r="T86" s="126">
        <v>5.755369550474722E-3</v>
      </c>
      <c r="U86" s="128">
        <f t="shared" si="33"/>
        <v>226138.28829860492</v>
      </c>
      <c r="V86" s="126">
        <v>5.755369550474722E-3</v>
      </c>
      <c r="W86" s="128">
        <f t="shared" si="34"/>
        <v>37058.853312354484</v>
      </c>
      <c r="X86" s="131">
        <v>5.2952331858807863E-3</v>
      </c>
      <c r="Y86" s="128">
        <f t="shared" si="35"/>
        <v>608056.04825440096</v>
      </c>
      <c r="Z86" s="133" t="e">
        <f t="shared" si="38"/>
        <v>#VALUE!</v>
      </c>
      <c r="AA86" s="134">
        <v>6.0167179902946098E-3</v>
      </c>
      <c r="AB86" s="135">
        <f t="shared" si="39"/>
        <v>28033891.466004502</v>
      </c>
      <c r="AD86" s="142">
        <v>27807362</v>
      </c>
      <c r="AE86" s="137">
        <f t="shared" si="40"/>
        <v>-8.0805572882810539E-3</v>
      </c>
      <c r="AP86" s="138" t="s">
        <v>212</v>
      </c>
      <c r="AQ86">
        <v>17626662.25</v>
      </c>
      <c r="AR86">
        <v>6788465.830000001</v>
      </c>
      <c r="AS86">
        <v>617834.17000000004</v>
      </c>
      <c r="AT86">
        <v>1642438.2</v>
      </c>
      <c r="AU86">
        <v>49087.33</v>
      </c>
      <c r="AV86"/>
      <c r="AW86">
        <v>204786.39</v>
      </c>
      <c r="AX86">
        <v>233364.14999999997</v>
      </c>
      <c r="AY86">
        <v>226138.28000000003</v>
      </c>
      <c r="AZ86">
        <v>37058.870000000003</v>
      </c>
      <c r="BA86">
        <v>608056.04999999993</v>
      </c>
      <c r="BB86">
        <v>28033891.520000007</v>
      </c>
      <c r="BD86" s="138" t="s">
        <v>212</v>
      </c>
      <c r="BE86" s="139">
        <f t="shared" si="41"/>
        <v>-1.1823661625385284E-3</v>
      </c>
      <c r="BF86" s="140">
        <f t="shared" si="42"/>
        <v>3.5222377628087997E-3</v>
      </c>
      <c r="BG86" s="140">
        <f t="shared" si="43"/>
        <v>1.4574321336112916E-2</v>
      </c>
      <c r="BH86" s="140">
        <f t="shared" si="44"/>
        <v>-2.8919883770868182E-2</v>
      </c>
      <c r="BI86" s="140">
        <f t="shared" si="45"/>
        <v>-4.2095630866242573E-2</v>
      </c>
      <c r="BJ86" s="140">
        <f t="shared" si="46"/>
        <v>0</v>
      </c>
      <c r="BK86" s="140">
        <f t="shared" si="47"/>
        <v>1.2515711947344244E-2</v>
      </c>
      <c r="BL86" s="140">
        <f t="shared" si="48"/>
        <v>4.7692259831819683E-3</v>
      </c>
      <c r="BM86" s="140">
        <f t="shared" si="49"/>
        <v>-8.2986048946622759E-3</v>
      </c>
      <c r="BN86" s="140">
        <f t="shared" si="50"/>
        <v>-1.6687645518686622E-2</v>
      </c>
      <c r="BO86" s="140">
        <f t="shared" si="51"/>
        <v>-1.7455989727750421E-3</v>
      </c>
      <c r="BP86" s="140">
        <f t="shared" si="52"/>
        <v>-5.3995504975318909E-2</v>
      </c>
    </row>
    <row r="87" spans="1:68" ht="15" x14ac:dyDescent="0.25">
      <c r="A87" s="98">
        <v>81</v>
      </c>
      <c r="B87" s="124">
        <v>6</v>
      </c>
      <c r="C87" s="141" t="s">
        <v>489</v>
      </c>
      <c r="D87" s="126">
        <v>3.539922476730511E-3</v>
      </c>
      <c r="E87" s="128">
        <f t="shared" si="28"/>
        <v>10841531.084512202</v>
      </c>
      <c r="F87" s="126">
        <v>3.539922476730511E-3</v>
      </c>
      <c r="G87" s="128">
        <f t="shared" si="36"/>
        <v>4175343.1384234</v>
      </c>
      <c r="H87" s="126">
        <v>3.539922476730511E-3</v>
      </c>
      <c r="I87" s="128">
        <f t="shared" si="53"/>
        <v>380007.76452082203</v>
      </c>
      <c r="J87" s="126">
        <v>3.539922476730511E-3</v>
      </c>
      <c r="K87" s="128">
        <f t="shared" si="53"/>
        <v>1010205.1219225513</v>
      </c>
      <c r="L87" s="126">
        <v>3.539922476730511E-3</v>
      </c>
      <c r="M87" s="128">
        <f t="shared" si="30"/>
        <v>30191.839507523076</v>
      </c>
      <c r="N87" s="129" t="s">
        <v>391</v>
      </c>
      <c r="O87" s="128" t="str">
        <f t="shared" si="37"/>
        <v>NA</v>
      </c>
      <c r="P87" s="126">
        <v>3.539922476730511E-3</v>
      </c>
      <c r="Q87" s="128">
        <f t="shared" si="31"/>
        <v>125956.81004260725</v>
      </c>
      <c r="R87" s="126">
        <v>3.539922476730511E-3</v>
      </c>
      <c r="S87" s="128">
        <f t="shared" si="32"/>
        <v>143533.96588802224</v>
      </c>
      <c r="T87" s="126">
        <v>3.539922476730511E-3</v>
      </c>
      <c r="U87" s="128">
        <f t="shared" si="33"/>
        <v>139089.59321848708</v>
      </c>
      <c r="V87" s="126">
        <v>3.539922476730511E-3</v>
      </c>
      <c r="W87" s="128">
        <f t="shared" si="34"/>
        <v>22793.57852728014</v>
      </c>
      <c r="X87" s="131">
        <v>1.8163149477235124E-3</v>
      </c>
      <c r="Y87" s="128">
        <f t="shared" si="35"/>
        <v>208568.96207007227</v>
      </c>
      <c r="Z87" s="133" t="e">
        <f t="shared" si="38"/>
        <v>#VALUE!</v>
      </c>
      <c r="AA87" s="134">
        <v>3.8459652399080993E-3</v>
      </c>
      <c r="AB87" s="135">
        <f t="shared" si="39"/>
        <v>17077221.858632967</v>
      </c>
      <c r="AD87" s="136">
        <v>16937893</v>
      </c>
      <c r="AE87" s="137">
        <f t="shared" si="40"/>
        <v>-8.1587543797431161E-3</v>
      </c>
      <c r="AP87" s="138" t="s">
        <v>213</v>
      </c>
      <c r="AQ87">
        <v>10841531.08</v>
      </c>
      <c r="AR87">
        <v>4175343.13</v>
      </c>
      <c r="AS87">
        <v>380007.78</v>
      </c>
      <c r="AT87">
        <v>1010205.1299999999</v>
      </c>
      <c r="AU87">
        <v>30191.889999999992</v>
      </c>
      <c r="AV87"/>
      <c r="AW87">
        <v>125956.8</v>
      </c>
      <c r="AX87">
        <v>143533.96</v>
      </c>
      <c r="AY87">
        <v>139089.59999999998</v>
      </c>
      <c r="AZ87">
        <v>22793.570000000003</v>
      </c>
      <c r="BA87">
        <v>208568.95999999996</v>
      </c>
      <c r="BB87">
        <v>17077221.900000002</v>
      </c>
      <c r="BD87" s="138" t="s">
        <v>213</v>
      </c>
      <c r="BE87" s="139">
        <f t="shared" si="41"/>
        <v>4.5122019946575165E-3</v>
      </c>
      <c r="BF87" s="140">
        <f t="shared" si="42"/>
        <v>-8.4234001114964485E-3</v>
      </c>
      <c r="BG87" s="140">
        <f t="shared" si="43"/>
        <v>-1.5479177993256599E-2</v>
      </c>
      <c r="BH87" s="140">
        <f t="shared" si="44"/>
        <v>-8.0774485832080245E-3</v>
      </c>
      <c r="BI87" s="140">
        <f t="shared" si="45"/>
        <v>-5.0492476915678708E-2</v>
      </c>
      <c r="BJ87" s="140">
        <f t="shared" si="46"/>
        <v>0</v>
      </c>
      <c r="BK87" s="140">
        <f t="shared" si="47"/>
        <v>1.0042607245850377E-2</v>
      </c>
      <c r="BL87" s="140">
        <f t="shared" si="48"/>
        <v>5.8880222495645285E-3</v>
      </c>
      <c r="BM87" s="140">
        <f t="shared" si="49"/>
        <v>6.7815129004884511E-3</v>
      </c>
      <c r="BN87" s="140">
        <f t="shared" si="50"/>
        <v>8.5272801370592788E-3</v>
      </c>
      <c r="BO87" s="140">
        <f t="shared" si="51"/>
        <v>2.0700723107438534E-3</v>
      </c>
      <c r="BP87" s="140">
        <f t="shared" si="52"/>
        <v>-4.1367035359144211E-2</v>
      </c>
    </row>
    <row r="88" spans="1:68" ht="15" x14ac:dyDescent="0.25">
      <c r="A88" s="98">
        <v>82</v>
      </c>
      <c r="B88" s="124">
        <v>4</v>
      </c>
      <c r="C88" s="141" t="s">
        <v>490</v>
      </c>
      <c r="D88" s="126">
        <v>3.5622050446331897E-3</v>
      </c>
      <c r="E88" s="128">
        <f t="shared" si="28"/>
        <v>10909774.71248644</v>
      </c>
      <c r="F88" s="126">
        <v>3.5622050446331897E-3</v>
      </c>
      <c r="G88" s="128">
        <f t="shared" si="36"/>
        <v>4201625.4560759701</v>
      </c>
      <c r="H88" s="126">
        <v>3.5622050446331897E-3</v>
      </c>
      <c r="I88" s="128">
        <f t="shared" si="53"/>
        <v>382399.77984662115</v>
      </c>
      <c r="J88" s="126">
        <v>3.5622050446331897E-3</v>
      </c>
      <c r="K88" s="128">
        <f t="shared" si="53"/>
        <v>1016564.0081334333</v>
      </c>
      <c r="L88" s="126">
        <v>3.5622050446331897E-3</v>
      </c>
      <c r="M88" s="128">
        <f t="shared" si="30"/>
        <v>30381.886526449467</v>
      </c>
      <c r="N88" s="129" t="s">
        <v>391</v>
      </c>
      <c r="O88" s="128" t="str">
        <f t="shared" si="37"/>
        <v>NA</v>
      </c>
      <c r="P88" s="126">
        <v>3.5622050446331897E-3</v>
      </c>
      <c r="Q88" s="128">
        <f t="shared" si="31"/>
        <v>126749.6638949242</v>
      </c>
      <c r="R88" s="126">
        <v>3.5622050446331897E-3</v>
      </c>
      <c r="S88" s="128">
        <f t="shared" si="32"/>
        <v>144437.46175898114</v>
      </c>
      <c r="T88" s="126">
        <v>3.5622050446331897E-3</v>
      </c>
      <c r="U88" s="128">
        <f t="shared" si="33"/>
        <v>139965.11332544417</v>
      </c>
      <c r="V88" s="126">
        <v>3.5622050446331897E-3</v>
      </c>
      <c r="W88" s="128">
        <f t="shared" si="34"/>
        <v>22937.056093418327</v>
      </c>
      <c r="X88" s="131">
        <v>1.6063233928336116E-3</v>
      </c>
      <c r="Y88" s="128">
        <f t="shared" si="35"/>
        <v>184455.45647911663</v>
      </c>
      <c r="Z88" s="133" t="e">
        <f t="shared" si="38"/>
        <v>#VALUE!</v>
      </c>
      <c r="AA88" s="134">
        <v>3.9295796508771663E-3</v>
      </c>
      <c r="AB88" s="135">
        <f t="shared" si="39"/>
        <v>17159290.594620798</v>
      </c>
      <c r="AD88" s="142">
        <v>17019083</v>
      </c>
      <c r="AE88" s="137">
        <f t="shared" si="40"/>
        <v>-8.1709435391664753E-3</v>
      </c>
      <c r="AP88" s="138" t="s">
        <v>214</v>
      </c>
      <c r="AQ88">
        <v>10909774.73</v>
      </c>
      <c r="AR88">
        <v>4201625.4600000009</v>
      </c>
      <c r="AS88">
        <v>382399.78</v>
      </c>
      <c r="AT88">
        <v>1016564.0399999999</v>
      </c>
      <c r="AU88">
        <v>30381.85</v>
      </c>
      <c r="AV88"/>
      <c r="AW88">
        <v>126749.66</v>
      </c>
      <c r="AX88">
        <v>144437.46000000002</v>
      </c>
      <c r="AY88">
        <v>139965.12000000002</v>
      </c>
      <c r="AZ88">
        <v>22937.06</v>
      </c>
      <c r="BA88">
        <v>184455.47</v>
      </c>
      <c r="BB88">
        <v>17159290.630000003</v>
      </c>
      <c r="BD88" s="138" t="s">
        <v>214</v>
      </c>
      <c r="BE88" s="139">
        <f t="shared" si="41"/>
        <v>-1.7513560131192207E-2</v>
      </c>
      <c r="BF88" s="140">
        <f t="shared" si="42"/>
        <v>3.9240308105945587E-3</v>
      </c>
      <c r="BG88" s="140">
        <f t="shared" si="43"/>
        <v>-1.5337887452915311E-4</v>
      </c>
      <c r="BH88" s="140">
        <f t="shared" si="44"/>
        <v>-3.1866566627286375E-2</v>
      </c>
      <c r="BI88" s="140">
        <f t="shared" si="45"/>
        <v>3.6526449468510691E-2</v>
      </c>
      <c r="BJ88" s="140">
        <f t="shared" si="46"/>
        <v>0</v>
      </c>
      <c r="BK88" s="140">
        <f t="shared" si="47"/>
        <v>3.8949242007220164E-3</v>
      </c>
      <c r="BL88" s="140">
        <f t="shared" si="48"/>
        <v>1.7589811177458614E-3</v>
      </c>
      <c r="BM88" s="140">
        <f t="shared" si="49"/>
        <v>6.6745558578986675E-3</v>
      </c>
      <c r="BN88" s="140">
        <f t="shared" si="50"/>
        <v>-3.9065816745278426E-3</v>
      </c>
      <c r="BO88" s="140">
        <f t="shared" si="51"/>
        <v>-1.352088336716406E-2</v>
      </c>
      <c r="BP88" s="140">
        <f t="shared" si="52"/>
        <v>-3.5379204899072647E-2</v>
      </c>
    </row>
    <row r="89" spans="1:68" ht="15" x14ac:dyDescent="0.25">
      <c r="A89" s="98">
        <v>83</v>
      </c>
      <c r="B89" s="124">
        <v>4</v>
      </c>
      <c r="C89" s="143" t="s">
        <v>491</v>
      </c>
      <c r="D89" s="126">
        <v>3.2575591633448361E-3</v>
      </c>
      <c r="E89" s="128">
        <f t="shared" si="28"/>
        <v>9976752.0789493341</v>
      </c>
      <c r="F89" s="126">
        <v>3.2575591633448361E-3</v>
      </c>
      <c r="G89" s="128">
        <f t="shared" si="36"/>
        <v>3842295.2451892323</v>
      </c>
      <c r="H89" s="126">
        <v>3.2575591633448361E-3</v>
      </c>
      <c r="I89" s="128">
        <f t="shared" ref="I89:K104" si="54">H89*I$113</f>
        <v>349696.2952138767</v>
      </c>
      <c r="J89" s="126">
        <v>3.2575591633448361E-3</v>
      </c>
      <c r="K89" s="128">
        <f t="shared" si="54"/>
        <v>929625.71169527282</v>
      </c>
      <c r="L89" s="126">
        <v>3.2575591633448361E-3</v>
      </c>
      <c r="M89" s="128">
        <f t="shared" si="30"/>
        <v>27783.575514005755</v>
      </c>
      <c r="N89" s="129" t="s">
        <v>391</v>
      </c>
      <c r="O89" s="128" t="str">
        <f t="shared" si="37"/>
        <v>NA</v>
      </c>
      <c r="P89" s="126">
        <v>3.2575591633448361E-3</v>
      </c>
      <c r="Q89" s="128">
        <f t="shared" si="31"/>
        <v>115909.81538074416</v>
      </c>
      <c r="R89" s="126">
        <v>3.2575591633448361E-3</v>
      </c>
      <c r="S89" s="128">
        <f t="shared" si="32"/>
        <v>132084.92245333071</v>
      </c>
      <c r="T89" s="126">
        <v>3.2575591633448361E-3</v>
      </c>
      <c r="U89" s="128">
        <f t="shared" si="33"/>
        <v>127995.05692375128</v>
      </c>
      <c r="V89" s="126">
        <v>3.2575591633448361E-3</v>
      </c>
      <c r="W89" s="128">
        <f t="shared" si="34"/>
        <v>20975.439740573212</v>
      </c>
      <c r="X89" s="131">
        <v>8.7956593135374143E-4</v>
      </c>
      <c r="Y89" s="128">
        <f t="shared" si="35"/>
        <v>101001.29033490281</v>
      </c>
      <c r="Z89" s="133" t="e">
        <f t="shared" si="38"/>
        <v>#VALUE!</v>
      </c>
      <c r="AA89" s="134">
        <v>3.4647643388487186E-3</v>
      </c>
      <c r="AB89" s="135">
        <f t="shared" si="39"/>
        <v>15624119.431395024</v>
      </c>
      <c r="AD89" s="136">
        <v>15495903</v>
      </c>
      <c r="AE89" s="137">
        <f t="shared" si="40"/>
        <v>-8.206314087524591E-3</v>
      </c>
      <c r="AP89" s="138" t="s">
        <v>492</v>
      </c>
      <c r="AQ89">
        <v>9976752.0700000003</v>
      </c>
      <c r="AR89">
        <v>3842295.23</v>
      </c>
      <c r="AS89">
        <v>349696.31</v>
      </c>
      <c r="AT89">
        <v>929625.67999999993</v>
      </c>
      <c r="AU89">
        <v>27783.609999999997</v>
      </c>
      <c r="AV89"/>
      <c r="AW89">
        <v>115909.82999999999</v>
      </c>
      <c r="AX89">
        <v>132084.91</v>
      </c>
      <c r="AY89">
        <v>127995.06999999999</v>
      </c>
      <c r="AZ89">
        <v>20975.45</v>
      </c>
      <c r="BA89">
        <v>101001.29000000001</v>
      </c>
      <c r="BB89">
        <v>15624119.449999999</v>
      </c>
      <c r="BD89" s="138" t="s">
        <v>492</v>
      </c>
      <c r="BE89" s="139">
        <f t="shared" si="41"/>
        <v>8.9493338018655777E-3</v>
      </c>
      <c r="BF89" s="140">
        <f t="shared" si="42"/>
        <v>-1.5189232304692268E-2</v>
      </c>
      <c r="BG89" s="140">
        <f t="shared" si="43"/>
        <v>-1.4786123298108578E-2</v>
      </c>
      <c r="BH89" s="140">
        <f t="shared" si="44"/>
        <v>3.1695272889919579E-2</v>
      </c>
      <c r="BI89" s="140">
        <f t="shared" si="45"/>
        <v>-3.4485994241549633E-2</v>
      </c>
      <c r="BJ89" s="140">
        <f t="shared" si="46"/>
        <v>0</v>
      </c>
      <c r="BK89" s="140">
        <f t="shared" si="47"/>
        <v>-1.461925583134871E-2</v>
      </c>
      <c r="BL89" s="140">
        <f t="shared" si="48"/>
        <v>1.2453330709831789E-2</v>
      </c>
      <c r="BM89" s="140">
        <f t="shared" si="49"/>
        <v>1.3076248709694482E-2</v>
      </c>
      <c r="BN89" s="140">
        <f t="shared" si="50"/>
        <v>-1.0259426788252313E-2</v>
      </c>
      <c r="BO89" s="140">
        <f t="shared" si="51"/>
        <v>3.3490279747638851E-4</v>
      </c>
      <c r="BP89" s="140">
        <f t="shared" si="52"/>
        <v>-1.8604975193738937E-2</v>
      </c>
    </row>
    <row r="90" spans="1:68" ht="15" x14ac:dyDescent="0.25">
      <c r="A90" s="98">
        <v>84</v>
      </c>
      <c r="B90" s="124">
        <v>4</v>
      </c>
      <c r="C90" s="141" t="s">
        <v>493</v>
      </c>
      <c r="D90" s="126">
        <v>4.6028876864204708E-3</v>
      </c>
      <c r="E90" s="128">
        <f t="shared" si="28"/>
        <v>14097017.733827896</v>
      </c>
      <c r="F90" s="126">
        <v>4.6028876864204708E-3</v>
      </c>
      <c r="G90" s="128">
        <f t="shared" si="36"/>
        <v>5429111.9776667235</v>
      </c>
      <c r="H90" s="126">
        <v>4.6028876864204708E-3</v>
      </c>
      <c r="I90" s="128">
        <f t="shared" si="54"/>
        <v>494116.2049606716</v>
      </c>
      <c r="J90" s="126">
        <v>4.6028876864204708E-3</v>
      </c>
      <c r="K90" s="128">
        <f t="shared" si="54"/>
        <v>1313548.7421043285</v>
      </c>
      <c r="L90" s="126">
        <v>4.6028876864204708E-3</v>
      </c>
      <c r="M90" s="128">
        <f t="shared" si="30"/>
        <v>39257.821947534307</v>
      </c>
      <c r="N90" s="129" t="s">
        <v>391</v>
      </c>
      <c r="O90" s="128" t="str">
        <f t="shared" si="37"/>
        <v>NA</v>
      </c>
      <c r="P90" s="126">
        <v>4.6028876864204708E-3</v>
      </c>
      <c r="Q90" s="128">
        <f t="shared" si="31"/>
        <v>163779.02447778825</v>
      </c>
      <c r="R90" s="126">
        <v>4.6028876864204708E-3</v>
      </c>
      <c r="S90" s="128">
        <f t="shared" si="32"/>
        <v>186634.23521615422</v>
      </c>
      <c r="T90" s="126">
        <v>4.6028876864204708E-3</v>
      </c>
      <c r="U90" s="128">
        <f t="shared" si="33"/>
        <v>180855.30972585332</v>
      </c>
      <c r="V90" s="126">
        <v>4.6028876864204708E-3</v>
      </c>
      <c r="W90" s="128">
        <f t="shared" si="34"/>
        <v>29638.016827299838</v>
      </c>
      <c r="X90" s="131">
        <v>3.4945885734522977E-3</v>
      </c>
      <c r="Y90" s="128">
        <f t="shared" si="35"/>
        <v>401286.52387098619</v>
      </c>
      <c r="Z90" s="133" t="e">
        <f t="shared" si="38"/>
        <v>#VALUE!</v>
      </c>
      <c r="AA90" s="134">
        <v>5.0023262371710914E-3</v>
      </c>
      <c r="AB90" s="135">
        <f t="shared" si="39"/>
        <v>22335245.590625238</v>
      </c>
      <c r="AD90" s="142">
        <v>22154078</v>
      </c>
      <c r="AE90" s="137">
        <f t="shared" si="40"/>
        <v>-8.1112871533088882E-3</v>
      </c>
      <c r="AP90" s="138" t="s">
        <v>215</v>
      </c>
      <c r="AQ90">
        <v>14097017.73</v>
      </c>
      <c r="AR90">
        <v>5429111.959999999</v>
      </c>
      <c r="AS90">
        <v>494116.21000000008</v>
      </c>
      <c r="AT90">
        <v>1313548.7599999998</v>
      </c>
      <c r="AU90">
        <v>39257.78</v>
      </c>
      <c r="AV90"/>
      <c r="AW90">
        <v>163779.04000000004</v>
      </c>
      <c r="AX90">
        <v>186634.22999999998</v>
      </c>
      <c r="AY90">
        <v>180855.3</v>
      </c>
      <c r="AZ90">
        <v>29638.010000000002</v>
      </c>
      <c r="BA90">
        <v>401286.51999999996</v>
      </c>
      <c r="BB90">
        <v>22335245.540000003</v>
      </c>
      <c r="BD90" s="138" t="s">
        <v>215</v>
      </c>
      <c r="BE90" s="139">
        <f t="shared" si="41"/>
        <v>3.8278959691524506E-3</v>
      </c>
      <c r="BF90" s="140">
        <f t="shared" si="42"/>
        <v>-1.7666724510490894E-2</v>
      </c>
      <c r="BG90" s="140">
        <f t="shared" si="43"/>
        <v>-5.0393284764140844E-3</v>
      </c>
      <c r="BH90" s="140">
        <f t="shared" si="44"/>
        <v>-1.7895671306177974E-2</v>
      </c>
      <c r="BI90" s="140">
        <f t="shared" si="45"/>
        <v>4.1947534307837486E-2</v>
      </c>
      <c r="BJ90" s="140">
        <f t="shared" si="46"/>
        <v>0</v>
      </c>
      <c r="BK90" s="140">
        <f t="shared" si="47"/>
        <v>-1.5522211790084839E-2</v>
      </c>
      <c r="BL90" s="140">
        <f t="shared" si="48"/>
        <v>5.2161542407702655E-3</v>
      </c>
      <c r="BM90" s="140">
        <f t="shared" si="49"/>
        <v>-9.7258533351123333E-3</v>
      </c>
      <c r="BN90" s="140">
        <f t="shared" si="50"/>
        <v>6.8272998360043857E-3</v>
      </c>
      <c r="BO90" s="140">
        <f t="shared" si="51"/>
        <v>3.8709862274117768E-3</v>
      </c>
      <c r="BP90" s="140">
        <f t="shared" si="52"/>
        <v>5.0625234842300415E-2</v>
      </c>
    </row>
    <row r="91" spans="1:68" ht="15" x14ac:dyDescent="0.25">
      <c r="A91" s="98">
        <v>85</v>
      </c>
      <c r="B91" s="124">
        <v>6</v>
      </c>
      <c r="C91" s="141" t="s">
        <v>494</v>
      </c>
      <c r="D91" s="126">
        <v>7.4660395522271406E-3</v>
      </c>
      <c r="E91" s="128">
        <f t="shared" si="28"/>
        <v>22865839.694440912</v>
      </c>
      <c r="F91" s="126">
        <v>7.4660395522271406E-3</v>
      </c>
      <c r="G91" s="128">
        <f t="shared" si="36"/>
        <v>8806203.3054410536</v>
      </c>
      <c r="H91" s="126">
        <v>7.4660395522271406E-3</v>
      </c>
      <c r="I91" s="128">
        <f t="shared" si="54"/>
        <v>801473.20138103201</v>
      </c>
      <c r="J91" s="126">
        <v>7.4660395522271406E-3</v>
      </c>
      <c r="K91" s="128">
        <f t="shared" si="54"/>
        <v>2130620.4996619723</v>
      </c>
      <c r="L91" s="126">
        <v>7.4660395522271406E-3</v>
      </c>
      <c r="M91" s="128">
        <f t="shared" si="30"/>
        <v>63677.515369165434</v>
      </c>
      <c r="N91" s="129" t="s">
        <v>391</v>
      </c>
      <c r="O91" s="128" t="str">
        <f t="shared" si="37"/>
        <v>NA</v>
      </c>
      <c r="P91" s="126">
        <v>7.4660395522271406E-3</v>
      </c>
      <c r="Q91" s="128">
        <f t="shared" si="31"/>
        <v>265655.11867339618</v>
      </c>
      <c r="R91" s="126">
        <v>7.4660395522271406E-3</v>
      </c>
      <c r="S91" s="128">
        <f t="shared" si="32"/>
        <v>302727.04372830165</v>
      </c>
      <c r="T91" s="126">
        <v>7.4660395522271406E-3</v>
      </c>
      <c r="U91" s="128">
        <f t="shared" si="33"/>
        <v>293353.43107048044</v>
      </c>
      <c r="V91" s="126">
        <v>7.4660395522271406E-3</v>
      </c>
      <c r="W91" s="128">
        <f t="shared" si="34"/>
        <v>48073.866006988312</v>
      </c>
      <c r="X91" s="131">
        <v>8.7722101045307754E-3</v>
      </c>
      <c r="Y91" s="128">
        <f t="shared" si="35"/>
        <v>1007320.2110987062</v>
      </c>
      <c r="Z91" s="133" t="e">
        <f t="shared" si="38"/>
        <v>#VALUE!</v>
      </c>
      <c r="AA91" s="134">
        <v>7.6644205973915702E-3</v>
      </c>
      <c r="AB91" s="135">
        <f t="shared" si="39"/>
        <v>36584943.886872001</v>
      </c>
      <c r="AD91" s="136">
        <v>36291084</v>
      </c>
      <c r="AE91" s="137">
        <f t="shared" si="40"/>
        <v>-8.0322628833510157E-3</v>
      </c>
      <c r="AP91" s="138" t="s">
        <v>216</v>
      </c>
      <c r="AQ91">
        <v>22865839.699999996</v>
      </c>
      <c r="AR91">
        <v>8806203.3200000003</v>
      </c>
      <c r="AS91">
        <v>801473.20999999985</v>
      </c>
      <c r="AT91">
        <v>2130620.4700000002</v>
      </c>
      <c r="AU91">
        <v>63677.539999999994</v>
      </c>
      <c r="AV91"/>
      <c r="AW91">
        <v>265655.09999999998</v>
      </c>
      <c r="AX91">
        <v>302727.03999999998</v>
      </c>
      <c r="AY91">
        <v>293353.43</v>
      </c>
      <c r="AZ91">
        <v>48073.87</v>
      </c>
      <c r="BA91">
        <v>1007320.2100000001</v>
      </c>
      <c r="BB91">
        <v>36584943.889999993</v>
      </c>
      <c r="BD91" s="138" t="s">
        <v>216</v>
      </c>
      <c r="BE91" s="139">
        <f t="shared" si="41"/>
        <v>-5.5590830743312836E-3</v>
      </c>
      <c r="BF91" s="140">
        <f t="shared" si="42"/>
        <v>1.4558946713805199E-2</v>
      </c>
      <c r="BG91" s="140">
        <f t="shared" si="43"/>
        <v>-8.6189678404480219E-3</v>
      </c>
      <c r="BH91" s="140">
        <f t="shared" si="44"/>
        <v>2.966197207570076E-2</v>
      </c>
      <c r="BI91" s="140">
        <f t="shared" si="45"/>
        <v>-2.4630834559502546E-2</v>
      </c>
      <c r="BJ91" s="140">
        <f t="shared" si="46"/>
        <v>0</v>
      </c>
      <c r="BK91" s="140">
        <f t="shared" si="47"/>
        <v>1.8673396203666925E-2</v>
      </c>
      <c r="BL91" s="140">
        <f t="shared" si="48"/>
        <v>3.7283016717992723E-3</v>
      </c>
      <c r="BM91" s="140">
        <f t="shared" si="49"/>
        <v>-1.0704804444685578E-3</v>
      </c>
      <c r="BN91" s="140">
        <f t="shared" si="50"/>
        <v>-3.993011690909043E-3</v>
      </c>
      <c r="BO91" s="140">
        <f t="shared" si="51"/>
        <v>1.098706154152751E-3</v>
      </c>
      <c r="BP91" s="140">
        <f t="shared" si="52"/>
        <v>-3.1279921531677246E-3</v>
      </c>
    </row>
    <row r="92" spans="1:68" ht="15" x14ac:dyDescent="0.25">
      <c r="A92" s="98">
        <v>86</v>
      </c>
      <c r="B92" s="124">
        <v>3</v>
      </c>
      <c r="C92" s="141" t="s">
        <v>495</v>
      </c>
      <c r="D92" s="126">
        <v>3.1796650856099323E-3</v>
      </c>
      <c r="E92" s="128">
        <f t="shared" si="28"/>
        <v>9738190.0565848369</v>
      </c>
      <c r="F92" s="126">
        <v>3.1796650856099323E-3</v>
      </c>
      <c r="G92" s="128">
        <f t="shared" si="36"/>
        <v>3750419.0797838708</v>
      </c>
      <c r="H92" s="126">
        <v>3.1796650856099323E-3</v>
      </c>
      <c r="I92" s="128">
        <f t="shared" si="54"/>
        <v>341334.43007586076</v>
      </c>
      <c r="J92" s="126">
        <v>3.1796650856099323E-3</v>
      </c>
      <c r="K92" s="128">
        <f t="shared" si="54"/>
        <v>907396.6948700482</v>
      </c>
      <c r="L92" s="126">
        <v>3.1796650856099323E-3</v>
      </c>
      <c r="M92" s="128">
        <f t="shared" si="30"/>
        <v>27119.22043023826</v>
      </c>
      <c r="N92" s="129" t="s">
        <v>391</v>
      </c>
      <c r="O92" s="128" t="str">
        <f t="shared" si="37"/>
        <v>NA</v>
      </c>
      <c r="P92" s="126">
        <v>3.1796650856099323E-3</v>
      </c>
      <c r="Q92" s="128">
        <f t="shared" si="31"/>
        <v>113138.20396349042</v>
      </c>
      <c r="R92" s="126">
        <v>3.1796650856099323E-3</v>
      </c>
      <c r="S92" s="128">
        <f t="shared" si="32"/>
        <v>128926.53523723356</v>
      </c>
      <c r="T92" s="126">
        <v>3.1796650856099323E-3</v>
      </c>
      <c r="U92" s="128">
        <f t="shared" si="33"/>
        <v>124934.46572225029</v>
      </c>
      <c r="V92" s="126">
        <v>3.1796650856099323E-3</v>
      </c>
      <c r="W92" s="128">
        <f t="shared" si="34"/>
        <v>20473.879384567779</v>
      </c>
      <c r="X92" s="131">
        <v>1.1673843473559409E-3</v>
      </c>
      <c r="Y92" s="128">
        <f t="shared" si="35"/>
        <v>134051.71937281275</v>
      </c>
      <c r="Z92" s="133" t="e">
        <f t="shared" si="38"/>
        <v>#VALUE!</v>
      </c>
      <c r="AA92" s="134">
        <v>3.5299905075917232E-3</v>
      </c>
      <c r="AB92" s="135">
        <f t="shared" si="39"/>
        <v>15285984.285425209</v>
      </c>
      <c r="AD92" s="142">
        <v>15160835</v>
      </c>
      <c r="AE92" s="137">
        <f t="shared" si="40"/>
        <v>-8.1871918149578615E-3</v>
      </c>
      <c r="AP92" s="138" t="s">
        <v>217</v>
      </c>
      <c r="AQ92">
        <v>9738190.0700000003</v>
      </c>
      <c r="AR92">
        <v>3750419.08</v>
      </c>
      <c r="AS92">
        <v>341334.41000000003</v>
      </c>
      <c r="AT92">
        <v>907396.72</v>
      </c>
      <c r="AU92">
        <v>27119.170000000002</v>
      </c>
      <c r="AV92"/>
      <c r="AW92">
        <v>113138.20000000001</v>
      </c>
      <c r="AX92">
        <v>128926.53</v>
      </c>
      <c r="AY92">
        <v>124934.46</v>
      </c>
      <c r="AZ92">
        <v>20473.890000000003</v>
      </c>
      <c r="BA92">
        <v>134051.72</v>
      </c>
      <c r="BB92">
        <v>15285984.250000002</v>
      </c>
      <c r="BD92" s="138" t="s">
        <v>217</v>
      </c>
      <c r="BE92" s="139">
        <f t="shared" si="41"/>
        <v>-1.341516338288784E-2</v>
      </c>
      <c r="BF92" s="140">
        <f t="shared" si="42"/>
        <v>2.1612923592329025E-4</v>
      </c>
      <c r="BG92" s="140">
        <f t="shared" si="43"/>
        <v>2.0075860724318773E-2</v>
      </c>
      <c r="BH92" s="140">
        <f t="shared" si="44"/>
        <v>-2.512995176948607E-2</v>
      </c>
      <c r="BI92" s="140">
        <f t="shared" si="45"/>
        <v>5.0430238257831661E-2</v>
      </c>
      <c r="BJ92" s="140">
        <f t="shared" si="46"/>
        <v>0</v>
      </c>
      <c r="BK92" s="140">
        <f t="shared" si="47"/>
        <v>3.9634904096601531E-3</v>
      </c>
      <c r="BL92" s="140">
        <f t="shared" si="48"/>
        <v>5.2372335630934685E-3</v>
      </c>
      <c r="BM92" s="140">
        <f t="shared" si="49"/>
        <v>-5.7222502800868824E-3</v>
      </c>
      <c r="BN92" s="140">
        <f t="shared" si="50"/>
        <v>-1.0615432223858079E-2</v>
      </c>
      <c r="BO92" s="140">
        <f t="shared" si="51"/>
        <v>-6.2718725530430675E-4</v>
      </c>
      <c r="BP92" s="140">
        <f t="shared" si="52"/>
        <v>3.5425206646323204E-2</v>
      </c>
    </row>
    <row r="93" spans="1:68" ht="15" x14ac:dyDescent="0.25">
      <c r="A93" s="98">
        <v>87</v>
      </c>
      <c r="B93" s="124">
        <v>1</v>
      </c>
      <c r="C93" s="141" t="s">
        <v>496</v>
      </c>
      <c r="D93" s="126">
        <v>4.1620296596096753E-3</v>
      </c>
      <c r="E93" s="128">
        <f t="shared" si="28"/>
        <v>12746825.453362932</v>
      </c>
      <c r="F93" s="126">
        <v>4.1620296596096753E-3</v>
      </c>
      <c r="G93" s="128">
        <f t="shared" si="36"/>
        <v>4909119.3650139617</v>
      </c>
      <c r="H93" s="126">
        <v>4.1620296596096753E-3</v>
      </c>
      <c r="I93" s="128">
        <f t="shared" si="54"/>
        <v>446790.45860868879</v>
      </c>
      <c r="J93" s="126">
        <v>4.1620296596096753E-3</v>
      </c>
      <c r="K93" s="128">
        <f t="shared" si="54"/>
        <v>1187738.9144449756</v>
      </c>
      <c r="L93" s="126">
        <v>4.1620296596096753E-3</v>
      </c>
      <c r="M93" s="128">
        <f t="shared" si="30"/>
        <v>35497.763675476235</v>
      </c>
      <c r="N93" s="129" t="s">
        <v>391</v>
      </c>
      <c r="O93" s="128" t="str">
        <f t="shared" si="37"/>
        <v>NA</v>
      </c>
      <c r="P93" s="126">
        <v>4.1620296596096753E-3</v>
      </c>
      <c r="Q93" s="128">
        <f t="shared" si="31"/>
        <v>148092.50278026992</v>
      </c>
      <c r="R93" s="126">
        <v>4.1620296596096753E-3</v>
      </c>
      <c r="S93" s="128">
        <f t="shared" si="32"/>
        <v>168758.67398630339</v>
      </c>
      <c r="T93" s="126">
        <v>4.1620296596096753E-3</v>
      </c>
      <c r="U93" s="128">
        <f t="shared" si="33"/>
        <v>163533.24574866344</v>
      </c>
      <c r="V93" s="126">
        <v>4.1620296596096753E-3</v>
      </c>
      <c r="W93" s="128">
        <f t="shared" si="34"/>
        <v>26799.329788374995</v>
      </c>
      <c r="X93" s="131">
        <v>2.936413563900812E-3</v>
      </c>
      <c r="Y93" s="128">
        <f t="shared" si="35"/>
        <v>337190.82144805609</v>
      </c>
      <c r="Z93" s="133" t="e">
        <f t="shared" si="38"/>
        <v>#VALUE!</v>
      </c>
      <c r="AA93" s="134">
        <v>4.3838553167255892E-3</v>
      </c>
      <c r="AB93" s="135">
        <f t="shared" si="39"/>
        <v>20170346.528857712</v>
      </c>
      <c r="AD93" s="136">
        <v>20006533</v>
      </c>
      <c r="AE93" s="137">
        <f t="shared" si="40"/>
        <v>-8.1215029510446346E-3</v>
      </c>
      <c r="AP93" s="138" t="s">
        <v>218</v>
      </c>
      <c r="AQ93">
        <v>12746825.469999999</v>
      </c>
      <c r="AR93">
        <v>4909119.3600000003</v>
      </c>
      <c r="AS93">
        <v>446790.45</v>
      </c>
      <c r="AT93">
        <v>1187738.9099999999</v>
      </c>
      <c r="AU93">
        <v>35497.810000000005</v>
      </c>
      <c r="AV93"/>
      <c r="AW93">
        <v>148092.5</v>
      </c>
      <c r="AX93">
        <v>168758.68</v>
      </c>
      <c r="AY93">
        <v>163533.24000000002</v>
      </c>
      <c r="AZ93">
        <v>26799.32</v>
      </c>
      <c r="BA93">
        <v>337190.81999999995</v>
      </c>
      <c r="BB93">
        <v>20170346.559999999</v>
      </c>
      <c r="BD93" s="138" t="s">
        <v>218</v>
      </c>
      <c r="BE93" s="139">
        <f t="shared" si="41"/>
        <v>-1.6637066379189491E-2</v>
      </c>
      <c r="BF93" s="140">
        <f t="shared" si="42"/>
        <v>-5.0139613449573517E-3</v>
      </c>
      <c r="BG93" s="140">
        <f t="shared" si="43"/>
        <v>8.6086887749843299E-3</v>
      </c>
      <c r="BH93" s="140">
        <f t="shared" si="44"/>
        <v>4.4449756387621164E-3</v>
      </c>
      <c r="BI93" s="140">
        <f t="shared" si="45"/>
        <v>-4.6324523769726511E-2</v>
      </c>
      <c r="BJ93" s="140">
        <f t="shared" si="46"/>
        <v>0</v>
      </c>
      <c r="BK93" s="140">
        <f t="shared" si="47"/>
        <v>2.7802699187304825E-3</v>
      </c>
      <c r="BL93" s="140">
        <f t="shared" si="48"/>
        <v>-6.0136966058053076E-3</v>
      </c>
      <c r="BM93" s="140">
        <f t="shared" si="49"/>
        <v>-5.7486634177621454E-3</v>
      </c>
      <c r="BN93" s="140">
        <f t="shared" si="50"/>
        <v>9.7883749949687626E-3</v>
      </c>
      <c r="BO93" s="140">
        <f t="shared" si="51"/>
        <v>1.4480561367236078E-3</v>
      </c>
      <c r="BP93" s="140">
        <f t="shared" si="52"/>
        <v>-3.1142286956310272E-2</v>
      </c>
    </row>
    <row r="94" spans="1:68" ht="15" x14ac:dyDescent="0.25">
      <c r="A94" s="98">
        <v>88</v>
      </c>
      <c r="B94" s="124">
        <v>3</v>
      </c>
      <c r="C94" s="143" t="s">
        <v>497</v>
      </c>
      <c r="D94" s="126">
        <v>3.1099955356159738E-3</v>
      </c>
      <c r="E94" s="128">
        <f t="shared" si="28"/>
        <v>9524816.8550900128</v>
      </c>
      <c r="F94" s="126">
        <v>3.1099955356159738E-3</v>
      </c>
      <c r="G94" s="128">
        <f t="shared" si="36"/>
        <v>3668243.7554832688</v>
      </c>
      <c r="H94" s="126">
        <v>3.1099955356159738E-3</v>
      </c>
      <c r="I94" s="128">
        <f t="shared" si="54"/>
        <v>333855.46122204897</v>
      </c>
      <c r="J94" s="126">
        <v>3.1099955356159738E-3</v>
      </c>
      <c r="K94" s="128">
        <f t="shared" si="54"/>
        <v>887514.75205672998</v>
      </c>
      <c r="L94" s="126">
        <v>3.1099955356159738E-3</v>
      </c>
      <c r="M94" s="128">
        <f t="shared" si="30"/>
        <v>26525.011973469536</v>
      </c>
      <c r="N94" s="129" t="s">
        <v>391</v>
      </c>
      <c r="O94" s="128" t="str">
        <f t="shared" si="37"/>
        <v>NA</v>
      </c>
      <c r="P94" s="126">
        <v>3.1099955356159738E-3</v>
      </c>
      <c r="Q94" s="128">
        <f t="shared" si="31"/>
        <v>110659.23603918495</v>
      </c>
      <c r="R94" s="126">
        <v>3.1099955356159738E-3</v>
      </c>
      <c r="S94" s="128">
        <f t="shared" si="32"/>
        <v>126101.62964170123</v>
      </c>
      <c r="T94" s="126">
        <v>3.1099955356159738E-3</v>
      </c>
      <c r="U94" s="128">
        <f t="shared" si="33"/>
        <v>122197.03024673538</v>
      </c>
      <c r="V94" s="126">
        <v>3.1099955356159738E-3</v>
      </c>
      <c r="W94" s="128">
        <f t="shared" si="34"/>
        <v>20025.276803808931</v>
      </c>
      <c r="X94" s="131">
        <v>9.7942174710702106E-4</v>
      </c>
      <c r="Y94" s="128">
        <f t="shared" si="35"/>
        <v>112467.81703745807</v>
      </c>
      <c r="Z94" s="133" t="e">
        <f t="shared" si="38"/>
        <v>#VALUE!</v>
      </c>
      <c r="AA94" s="134">
        <v>3.4393496702702806E-3</v>
      </c>
      <c r="AB94" s="135">
        <f t="shared" si="39"/>
        <v>14932406.825594414</v>
      </c>
      <c r="AD94" s="142">
        <v>14809999</v>
      </c>
      <c r="AE94" s="137">
        <f t="shared" si="40"/>
        <v>-8.1974612012716275E-3</v>
      </c>
      <c r="AP94" s="138" t="s">
        <v>219</v>
      </c>
      <c r="AQ94">
        <v>9524816.8599999994</v>
      </c>
      <c r="AR94">
        <v>3668243.7600000002</v>
      </c>
      <c r="AS94">
        <v>333855.48</v>
      </c>
      <c r="AT94">
        <v>887514.74</v>
      </c>
      <c r="AU94">
        <v>26525.049999999996</v>
      </c>
      <c r="AV94"/>
      <c r="AW94">
        <v>110659.23000000001</v>
      </c>
      <c r="AX94">
        <v>126101.63999999998</v>
      </c>
      <c r="AY94">
        <v>122197.03000000001</v>
      </c>
      <c r="AZ94">
        <v>20025.289999999997</v>
      </c>
      <c r="BA94">
        <v>112467.82</v>
      </c>
      <c r="BB94">
        <v>14932406.899999999</v>
      </c>
      <c r="BD94" s="138" t="s">
        <v>219</v>
      </c>
      <c r="BE94" s="139">
        <f t="shared" si="41"/>
        <v>-4.9099866300821304E-3</v>
      </c>
      <c r="BF94" s="140">
        <f t="shared" si="42"/>
        <v>4.5167314819991589E-3</v>
      </c>
      <c r="BG94" s="140">
        <f t="shared" si="43"/>
        <v>-1.877795101609081E-2</v>
      </c>
      <c r="BH94" s="140">
        <f t="shared" si="44"/>
        <v>1.2056729989126325E-2</v>
      </c>
      <c r="BI94" s="140">
        <f t="shared" si="45"/>
        <v>-3.8026530459319474E-2</v>
      </c>
      <c r="BJ94" s="140">
        <f t="shared" si="46"/>
        <v>0</v>
      </c>
      <c r="BK94" s="140">
        <f t="shared" si="47"/>
        <v>6.0391849401639774E-3</v>
      </c>
      <c r="BL94" s="140">
        <f t="shared" si="48"/>
        <v>-1.0358298750361428E-2</v>
      </c>
      <c r="BM94" s="140">
        <f t="shared" si="49"/>
        <v>-2.4673536245245486E-4</v>
      </c>
      <c r="BN94" s="140">
        <f t="shared" si="50"/>
        <v>-1.3196191066526808E-2</v>
      </c>
      <c r="BO94" s="140">
        <f t="shared" si="51"/>
        <v>-2.962541941087693E-3</v>
      </c>
      <c r="BP94" s="140">
        <f t="shared" si="52"/>
        <v>-7.440558448433876E-2</v>
      </c>
    </row>
    <row r="95" spans="1:68" ht="15" x14ac:dyDescent="0.25">
      <c r="A95" s="98">
        <v>89</v>
      </c>
      <c r="B95" s="124">
        <v>7</v>
      </c>
      <c r="C95" s="141" t="s">
        <v>498</v>
      </c>
      <c r="D95" s="126">
        <v>1.4350476523931014E-2</v>
      </c>
      <c r="E95" s="128">
        <f t="shared" si="28"/>
        <v>43950436.297536142</v>
      </c>
      <c r="F95" s="126">
        <v>1.4350476523931014E-2</v>
      </c>
      <c r="G95" s="128">
        <f t="shared" si="36"/>
        <v>16926405.615142778</v>
      </c>
      <c r="H95" s="126">
        <v>1.4350476523931014E-2</v>
      </c>
      <c r="I95" s="128">
        <f t="shared" si="54"/>
        <v>1540511.8444018152</v>
      </c>
      <c r="J95" s="126">
        <v>1.4350476523931014E-2</v>
      </c>
      <c r="K95" s="128">
        <f t="shared" si="54"/>
        <v>4095266.2047825032</v>
      </c>
      <c r="L95" s="126">
        <v>1.4350476523931014E-2</v>
      </c>
      <c r="M95" s="128">
        <f t="shared" si="30"/>
        <v>122394.56850116405</v>
      </c>
      <c r="N95" s="129" t="s">
        <v>391</v>
      </c>
      <c r="O95" s="128" t="str">
        <f t="shared" si="37"/>
        <v>NA</v>
      </c>
      <c r="P95" s="126">
        <v>1.4350476523931014E-2</v>
      </c>
      <c r="Q95" s="128">
        <f t="shared" si="31"/>
        <v>510615.77122873213</v>
      </c>
      <c r="R95" s="126">
        <v>1.4350476523931014E-2</v>
      </c>
      <c r="S95" s="128">
        <f t="shared" si="32"/>
        <v>581871.72781399474</v>
      </c>
      <c r="T95" s="126">
        <v>1.4350476523931014E-2</v>
      </c>
      <c r="U95" s="128">
        <f t="shared" si="33"/>
        <v>563854.70453819935</v>
      </c>
      <c r="V95" s="126">
        <v>1.4350476523931014E-2</v>
      </c>
      <c r="W95" s="128">
        <f t="shared" si="34"/>
        <v>92402.790089974413</v>
      </c>
      <c r="X95" s="131">
        <v>1.8019451777219128E-2</v>
      </c>
      <c r="Y95" s="128">
        <f t="shared" si="35"/>
        <v>2069188.6938203066</v>
      </c>
      <c r="Z95" s="133" t="e">
        <f t="shared" si="38"/>
        <v>#VALUE!</v>
      </c>
      <c r="AA95" s="134">
        <v>1.5259902318650882E-2</v>
      </c>
      <c r="AB95" s="135">
        <f t="shared" si="39"/>
        <v>70452948.217855617</v>
      </c>
      <c r="AD95" s="136">
        <v>69888122</v>
      </c>
      <c r="AE95" s="137">
        <f t="shared" si="40"/>
        <v>-8.01707000406926E-3</v>
      </c>
      <c r="AP95" s="138" t="s">
        <v>220</v>
      </c>
      <c r="AQ95">
        <v>43950436.310000002</v>
      </c>
      <c r="AR95">
        <v>16926405.609999999</v>
      </c>
      <c r="AS95">
        <v>1540511.8399999999</v>
      </c>
      <c r="AT95">
        <v>4095266.2300000004</v>
      </c>
      <c r="AU95">
        <v>122394.53000000006</v>
      </c>
      <c r="AV95"/>
      <c r="AW95">
        <v>510615.77999999997</v>
      </c>
      <c r="AX95">
        <v>581871.74</v>
      </c>
      <c r="AY95">
        <v>563854.69000000006</v>
      </c>
      <c r="AZ95">
        <v>92402.780000000013</v>
      </c>
      <c r="BA95">
        <v>2069188.71</v>
      </c>
      <c r="BB95">
        <v>70452948.219999984</v>
      </c>
      <c r="BD95" s="138" t="s">
        <v>220</v>
      </c>
      <c r="BE95" s="139">
        <f t="shared" si="41"/>
        <v>-1.2463860213756561E-2</v>
      </c>
      <c r="BF95" s="140">
        <f t="shared" si="42"/>
        <v>-5.1427781581878662E-3</v>
      </c>
      <c r="BG95" s="140">
        <f t="shared" si="43"/>
        <v>4.4018153566867113E-3</v>
      </c>
      <c r="BH95" s="140">
        <f t="shared" si="44"/>
        <v>-2.5217497255653143E-2</v>
      </c>
      <c r="BI95" s="140">
        <f t="shared" si="45"/>
        <v>3.8501163988257758E-2</v>
      </c>
      <c r="BJ95" s="140">
        <f t="shared" si="46"/>
        <v>0</v>
      </c>
      <c r="BK95" s="140">
        <f t="shared" si="47"/>
        <v>-8.7712678359821439E-3</v>
      </c>
      <c r="BL95" s="140">
        <f t="shared" si="48"/>
        <v>-1.2186005245894194E-2</v>
      </c>
      <c r="BM95" s="140">
        <f t="shared" si="49"/>
        <v>-1.4538199291564524E-2</v>
      </c>
      <c r="BN95" s="140">
        <f t="shared" si="50"/>
        <v>1.0089974399306811E-2</v>
      </c>
      <c r="BO95" s="140">
        <f t="shared" si="51"/>
        <v>-1.6179693397134542E-2</v>
      </c>
      <c r="BP95" s="140">
        <f t="shared" si="52"/>
        <v>-2.1443665027618408E-3</v>
      </c>
    </row>
    <row r="96" spans="1:68" ht="15" x14ac:dyDescent="0.25">
      <c r="A96" s="98">
        <v>90</v>
      </c>
      <c r="B96" s="124">
        <v>2</v>
      </c>
      <c r="C96" s="141" t="s">
        <v>499</v>
      </c>
      <c r="D96" s="126">
        <v>4.7562182476601992E-3</v>
      </c>
      <c r="E96" s="128">
        <f t="shared" si="28"/>
        <v>14566615.036258532</v>
      </c>
      <c r="F96" s="126">
        <v>4.7562182476601992E-3</v>
      </c>
      <c r="G96" s="128">
        <f t="shared" si="36"/>
        <v>5609965.5729053989</v>
      </c>
      <c r="H96" s="126">
        <v>4.7562182476601992E-3</v>
      </c>
      <c r="I96" s="128">
        <f t="shared" si="54"/>
        <v>510576.11451870453</v>
      </c>
      <c r="J96" s="126">
        <v>4.7562182476601992E-3</v>
      </c>
      <c r="K96" s="128">
        <f t="shared" si="54"/>
        <v>1357305.4399783155</v>
      </c>
      <c r="L96" s="126">
        <v>4.7562182476601992E-3</v>
      </c>
      <c r="M96" s="128">
        <f t="shared" si="30"/>
        <v>40565.571404472692</v>
      </c>
      <c r="N96" s="129" t="s">
        <v>391</v>
      </c>
      <c r="O96" s="128" t="str">
        <f t="shared" si="37"/>
        <v>NA</v>
      </c>
      <c r="P96" s="126">
        <v>4.7562182476601992E-3</v>
      </c>
      <c r="Q96" s="128">
        <f t="shared" si="31"/>
        <v>169234.80168837745</v>
      </c>
      <c r="R96" s="126">
        <v>4.7562182476601992E-3</v>
      </c>
      <c r="S96" s="128">
        <f t="shared" si="32"/>
        <v>192851.36106883711</v>
      </c>
      <c r="T96" s="126">
        <v>4.7562182476601992E-3</v>
      </c>
      <c r="U96" s="128">
        <f t="shared" si="33"/>
        <v>186879.92905889972</v>
      </c>
      <c r="V96" s="126">
        <v>4.7562182476601992E-3</v>
      </c>
      <c r="W96" s="128">
        <f t="shared" si="34"/>
        <v>30625.313077775256</v>
      </c>
      <c r="X96" s="131">
        <v>3.926556056759155E-3</v>
      </c>
      <c r="Y96" s="128">
        <f t="shared" si="35"/>
        <v>450889.71067196113</v>
      </c>
      <c r="Z96" s="133" t="e">
        <f t="shared" si="38"/>
        <v>#VALUE!</v>
      </c>
      <c r="AA96" s="134">
        <v>5.0723460215597897E-3</v>
      </c>
      <c r="AB96" s="135">
        <f t="shared" si="39"/>
        <v>23115508.850631274</v>
      </c>
      <c r="AD96" s="142">
        <v>22928307</v>
      </c>
      <c r="AE96" s="137">
        <f t="shared" si="40"/>
        <v>-8.0985390302650284E-3</v>
      </c>
      <c r="AP96" s="138" t="s">
        <v>221</v>
      </c>
      <c r="AQ96">
        <v>14566615.050000001</v>
      </c>
      <c r="AR96">
        <v>5609965.5599999996</v>
      </c>
      <c r="AS96">
        <v>510576.12</v>
      </c>
      <c r="AT96">
        <v>1357305.46</v>
      </c>
      <c r="AU96">
        <v>40565.539999999994</v>
      </c>
      <c r="AV96"/>
      <c r="AW96">
        <v>169234.81</v>
      </c>
      <c r="AX96">
        <v>192851.34999999998</v>
      </c>
      <c r="AY96">
        <v>186879.93000000002</v>
      </c>
      <c r="AZ96">
        <v>30625.319999999996</v>
      </c>
      <c r="BA96">
        <v>450889.71999999991</v>
      </c>
      <c r="BB96">
        <v>23115508.860000003</v>
      </c>
      <c r="BD96" s="138" t="s">
        <v>221</v>
      </c>
      <c r="BE96" s="139">
        <f t="shared" si="41"/>
        <v>-1.3741469010710716E-2</v>
      </c>
      <c r="BF96" s="140">
        <f t="shared" si="42"/>
        <v>-1.2905399315059185E-2</v>
      </c>
      <c r="BG96" s="140">
        <f t="shared" si="43"/>
        <v>-5.4812954622320831E-3</v>
      </c>
      <c r="BH96" s="140">
        <f t="shared" si="44"/>
        <v>-2.0021684467792511E-2</v>
      </c>
      <c r="BI96" s="140">
        <f t="shared" si="45"/>
        <v>3.1404472698341124E-2</v>
      </c>
      <c r="BJ96" s="140">
        <f t="shared" si="46"/>
        <v>0</v>
      </c>
      <c r="BK96" s="140">
        <f t="shared" si="47"/>
        <v>-8.3116225432604551E-3</v>
      </c>
      <c r="BL96" s="140">
        <f t="shared" si="48"/>
        <v>1.1068837135098875E-2</v>
      </c>
      <c r="BM96" s="140">
        <f t="shared" si="49"/>
        <v>9.4110029749572277E-4</v>
      </c>
      <c r="BN96" s="140">
        <f t="shared" si="50"/>
        <v>-6.9222247402649373E-3</v>
      </c>
      <c r="BO96" s="140">
        <f t="shared" si="51"/>
        <v>-9.3280387809500098E-3</v>
      </c>
      <c r="BP96" s="140">
        <f t="shared" si="52"/>
        <v>-9.3687288463115692E-3</v>
      </c>
    </row>
    <row r="97" spans="1:68" ht="15" x14ac:dyDescent="0.25">
      <c r="A97" s="98">
        <v>91</v>
      </c>
      <c r="B97" s="124">
        <v>6</v>
      </c>
      <c r="C97" s="141" t="s">
        <v>500</v>
      </c>
      <c r="D97" s="126">
        <v>6.2590485580538719E-3</v>
      </c>
      <c r="E97" s="128">
        <f t="shared" si="28"/>
        <v>19169252.984400377</v>
      </c>
      <c r="F97" s="126">
        <v>6.2590485580538719E-3</v>
      </c>
      <c r="G97" s="128">
        <f t="shared" si="36"/>
        <v>7382555.8671743274</v>
      </c>
      <c r="H97" s="126">
        <v>6.2590485580538719E-3</v>
      </c>
      <c r="I97" s="128">
        <f t="shared" si="54"/>
        <v>671903.71151011984</v>
      </c>
      <c r="J97" s="126">
        <v>6.2590485580538719E-3</v>
      </c>
      <c r="K97" s="128">
        <f t="shared" si="54"/>
        <v>1786175.5316031275</v>
      </c>
      <c r="L97" s="126">
        <v>6.2590485580538719E-3</v>
      </c>
      <c r="M97" s="128">
        <f t="shared" si="30"/>
        <v>53383.143494456359</v>
      </c>
      <c r="N97" s="129" t="s">
        <v>391</v>
      </c>
      <c r="O97" s="128" t="str">
        <f t="shared" si="37"/>
        <v>NA</v>
      </c>
      <c r="P97" s="126">
        <v>6.2590485580538719E-3</v>
      </c>
      <c r="Q97" s="128">
        <f t="shared" si="31"/>
        <v>222708.20772391275</v>
      </c>
      <c r="R97" s="126">
        <v>6.2590485580538719E-3</v>
      </c>
      <c r="S97" s="128">
        <f t="shared" si="32"/>
        <v>253786.9312474133</v>
      </c>
      <c r="T97" s="126">
        <v>6.2590485580538719E-3</v>
      </c>
      <c r="U97" s="128">
        <f t="shared" si="33"/>
        <v>245928.69578277666</v>
      </c>
      <c r="V97" s="126">
        <v>6.2590485580538719E-3</v>
      </c>
      <c r="W97" s="128">
        <f t="shared" si="34"/>
        <v>40302.044960551662</v>
      </c>
      <c r="X97" s="131">
        <v>6.2694671269639896E-3</v>
      </c>
      <c r="Y97" s="128">
        <f t="shared" si="35"/>
        <v>719928.14519432595</v>
      </c>
      <c r="Z97" s="133" t="e">
        <f t="shared" si="38"/>
        <v>#VALUE!</v>
      </c>
      <c r="AA97" s="134">
        <v>6.5657450962773121E-3</v>
      </c>
      <c r="AB97" s="135">
        <f t="shared" si="39"/>
        <v>30545925.263091385</v>
      </c>
      <c r="AD97" s="136">
        <v>30299573</v>
      </c>
      <c r="AE97" s="137">
        <f t="shared" si="40"/>
        <v>-8.0649795666544177E-3</v>
      </c>
      <c r="AP97" s="138" t="s">
        <v>501</v>
      </c>
      <c r="AQ97">
        <v>19169252.98</v>
      </c>
      <c r="AR97">
        <v>7382555.8600000003</v>
      </c>
      <c r="AS97">
        <v>671903.7</v>
      </c>
      <c r="AT97">
        <v>1786175.5699999998</v>
      </c>
      <c r="AU97">
        <v>53383.099999999991</v>
      </c>
      <c r="AV97"/>
      <c r="AW97">
        <v>222708.19999999998</v>
      </c>
      <c r="AX97">
        <v>253786.93</v>
      </c>
      <c r="AY97">
        <v>245928.69999999998</v>
      </c>
      <c r="AZ97">
        <v>40302.049999999988</v>
      </c>
      <c r="BA97">
        <v>719928.15</v>
      </c>
      <c r="BB97">
        <v>30545925.239999998</v>
      </c>
      <c r="BD97" s="138" t="s">
        <v>501</v>
      </c>
      <c r="BE97" s="139">
        <f t="shared" si="41"/>
        <v>4.4003762304782867E-3</v>
      </c>
      <c r="BF97" s="140">
        <f t="shared" si="42"/>
        <v>-7.1743270382285118E-3</v>
      </c>
      <c r="BG97" s="140">
        <f t="shared" si="43"/>
        <v>1.1510119889862835E-2</v>
      </c>
      <c r="BH97" s="140">
        <f t="shared" si="44"/>
        <v>-3.8396872347220778E-2</v>
      </c>
      <c r="BI97" s="140">
        <f t="shared" si="45"/>
        <v>4.3494456367625389E-2</v>
      </c>
      <c r="BJ97" s="140">
        <f t="shared" si="46"/>
        <v>0</v>
      </c>
      <c r="BK97" s="140">
        <f t="shared" si="47"/>
        <v>7.7239127713255584E-3</v>
      </c>
      <c r="BL97" s="140">
        <f t="shared" si="48"/>
        <v>1.2474133109208196E-3</v>
      </c>
      <c r="BM97" s="140">
        <f t="shared" si="49"/>
        <v>4.2172233224846423E-3</v>
      </c>
      <c r="BN97" s="140">
        <f t="shared" si="50"/>
        <v>-5.0394483259879053E-3</v>
      </c>
      <c r="BO97" s="140">
        <f t="shared" si="51"/>
        <v>-4.8056740779429674E-3</v>
      </c>
      <c r="BP97" s="140">
        <f t="shared" si="52"/>
        <v>2.3091387003660202E-2</v>
      </c>
    </row>
    <row r="98" spans="1:68" ht="15" x14ac:dyDescent="0.25">
      <c r="A98" s="98">
        <v>92</v>
      </c>
      <c r="B98" s="124">
        <v>6</v>
      </c>
      <c r="C98" s="141" t="s">
        <v>502</v>
      </c>
      <c r="D98" s="126">
        <v>4.9052182617850149E-3</v>
      </c>
      <c r="E98" s="128">
        <f t="shared" si="28"/>
        <v>15022949.403845849</v>
      </c>
      <c r="F98" s="126">
        <v>4.9052182617850149E-3</v>
      </c>
      <c r="G98" s="128">
        <f t="shared" si="36"/>
        <v>5785711.2822226379</v>
      </c>
      <c r="H98" s="126">
        <v>4.9052182617850149E-3</v>
      </c>
      <c r="I98" s="128">
        <f t="shared" si="54"/>
        <v>526571.14340799185</v>
      </c>
      <c r="J98" s="126">
        <v>4.9052182617850149E-3</v>
      </c>
      <c r="K98" s="128">
        <f t="shared" si="54"/>
        <v>1399826.3082811837</v>
      </c>
      <c r="L98" s="126">
        <v>4.9052182617850149E-3</v>
      </c>
      <c r="M98" s="128">
        <f t="shared" si="30"/>
        <v>41836.38581994261</v>
      </c>
      <c r="N98" s="129">
        <v>2.800000860611418E-3</v>
      </c>
      <c r="O98" s="128">
        <f t="shared" si="37"/>
        <v>694948</v>
      </c>
      <c r="P98" s="126">
        <v>4.9052182617850149E-3</v>
      </c>
      <c r="Q98" s="128">
        <f t="shared" si="31"/>
        <v>174536.49024196382</v>
      </c>
      <c r="R98" s="126">
        <v>4.9052182617850149E-3</v>
      </c>
      <c r="S98" s="128">
        <f t="shared" si="32"/>
        <v>198892.89533555892</v>
      </c>
      <c r="T98" s="126">
        <v>4.9052182617850149E-3</v>
      </c>
      <c r="U98" s="128">
        <f t="shared" si="33"/>
        <v>192734.39380788783</v>
      </c>
      <c r="V98" s="126">
        <v>4.9052182617850149E-3</v>
      </c>
      <c r="W98" s="128">
        <f t="shared" si="34"/>
        <v>31584.724913725015</v>
      </c>
      <c r="X98" s="131">
        <v>4.5664537250292223E-3</v>
      </c>
      <c r="Y98" s="128">
        <f t="shared" si="35"/>
        <v>524369.69423396594</v>
      </c>
      <c r="Z98" s="133">
        <f t="shared" si="38"/>
        <v>24387839.506955016</v>
      </c>
      <c r="AA98" s="134">
        <v>5.0550809269068585E-3</v>
      </c>
      <c r="AB98" s="135">
        <f t="shared" si="39"/>
        <v>24593960.722110704</v>
      </c>
      <c r="AD98" s="142">
        <v>24400893</v>
      </c>
      <c r="AE98" s="137">
        <f t="shared" si="40"/>
        <v>-7.850208605770792E-3</v>
      </c>
      <c r="AP98" s="138" t="s">
        <v>222</v>
      </c>
      <c r="AQ98">
        <v>15022949.409999998</v>
      </c>
      <c r="AR98">
        <v>5785711.2599999998</v>
      </c>
      <c r="AS98">
        <v>526571.15999999992</v>
      </c>
      <c r="AT98">
        <v>1399826.3</v>
      </c>
      <c r="AU98">
        <v>41836.340000000004</v>
      </c>
      <c r="AV98">
        <v>694948.00999999989</v>
      </c>
      <c r="AW98">
        <v>174536.48</v>
      </c>
      <c r="AX98">
        <v>198892.90000000002</v>
      </c>
      <c r="AY98">
        <v>192734.38</v>
      </c>
      <c r="AZ98">
        <v>31584.730000000003</v>
      </c>
      <c r="BA98">
        <v>524369.68999999994</v>
      </c>
      <c r="BB98">
        <v>24593960.66</v>
      </c>
      <c r="BD98" s="138" t="s">
        <v>222</v>
      </c>
      <c r="BE98" s="139">
        <f t="shared" si="41"/>
        <v>-6.1541497707366943E-3</v>
      </c>
      <c r="BF98" s="140">
        <f t="shared" si="42"/>
        <v>-2.2222638130187988E-2</v>
      </c>
      <c r="BG98" s="140">
        <f t="shared" si="43"/>
        <v>-1.659200806170702E-2</v>
      </c>
      <c r="BH98" s="140">
        <f t="shared" si="44"/>
        <v>8.2811836618930101E-3</v>
      </c>
      <c r="BI98" s="140">
        <f t="shared" si="45"/>
        <v>4.581994260661304E-2</v>
      </c>
      <c r="BJ98" s="140">
        <f t="shared" si="46"/>
        <v>-9.9999998928979039E-3</v>
      </c>
      <c r="BK98" s="140">
        <f t="shared" si="47"/>
        <v>1.0241963813314214E-2</v>
      </c>
      <c r="BL98" s="140">
        <f t="shared" si="48"/>
        <v>-4.664441104978323E-3</v>
      </c>
      <c r="BM98" s="140">
        <f t="shared" si="49"/>
        <v>-1.3807887822622433E-2</v>
      </c>
      <c r="BN98" s="140">
        <f t="shared" si="50"/>
        <v>-5.0862749885709491E-3</v>
      </c>
      <c r="BO98" s="140">
        <f t="shared" si="51"/>
        <v>4.2339659994468093E-3</v>
      </c>
      <c r="BP98" s="140">
        <f t="shared" si="52"/>
        <v>6.2110703438520432E-2</v>
      </c>
    </row>
    <row r="99" spans="1:68" ht="15" x14ac:dyDescent="0.25">
      <c r="A99" s="98">
        <v>93</v>
      </c>
      <c r="B99" s="124">
        <v>2</v>
      </c>
      <c r="C99" s="141" t="s">
        <v>503</v>
      </c>
      <c r="D99" s="126">
        <v>7.8311010272548234E-3</v>
      </c>
      <c r="E99" s="128">
        <f t="shared" si="28"/>
        <v>23983893.932997562</v>
      </c>
      <c r="F99" s="126">
        <v>7.8311010272548234E-3</v>
      </c>
      <c r="G99" s="128">
        <f t="shared" si="36"/>
        <v>9236793.7872606926</v>
      </c>
      <c r="H99" s="126">
        <v>7.8311010272548234E-3</v>
      </c>
      <c r="I99" s="128">
        <f t="shared" si="54"/>
        <v>840662.25027965987</v>
      </c>
      <c r="J99" s="126">
        <v>7.8311010272548234E-3</v>
      </c>
      <c r="K99" s="128">
        <f t="shared" si="54"/>
        <v>2234799.8918135711</v>
      </c>
      <c r="L99" s="126">
        <v>7.8311010272548234E-3</v>
      </c>
      <c r="M99" s="128">
        <f t="shared" si="30"/>
        <v>66791.108261910165</v>
      </c>
      <c r="N99" s="129" t="s">
        <v>391</v>
      </c>
      <c r="O99" s="128" t="str">
        <f t="shared" si="37"/>
        <v>NA</v>
      </c>
      <c r="P99" s="126">
        <v>7.8311010272548234E-3</v>
      </c>
      <c r="Q99" s="128">
        <f t="shared" si="31"/>
        <v>278644.66270047473</v>
      </c>
      <c r="R99" s="126">
        <v>7.8311010272548234E-3</v>
      </c>
      <c r="S99" s="128">
        <f t="shared" si="32"/>
        <v>317529.26655891293</v>
      </c>
      <c r="T99" s="126">
        <v>7.8311010272548234E-3</v>
      </c>
      <c r="U99" s="128">
        <f t="shared" si="33"/>
        <v>307697.31921919453</v>
      </c>
      <c r="V99" s="126">
        <v>7.8311010272548234E-3</v>
      </c>
      <c r="W99" s="128">
        <f t="shared" si="34"/>
        <v>50424.498669998939</v>
      </c>
      <c r="X99" s="131">
        <v>7.9188326930991499E-3</v>
      </c>
      <c r="Y99" s="128">
        <f t="shared" si="35"/>
        <v>909326.17037387413</v>
      </c>
      <c r="Z99" s="133" t="e">
        <f t="shared" si="38"/>
        <v>#VALUE!</v>
      </c>
      <c r="AA99" s="134">
        <v>8.3536297779915648E-3</v>
      </c>
      <c r="AB99" s="135">
        <f t="shared" si="39"/>
        <v>38226562.88813585</v>
      </c>
      <c r="AD99" s="136">
        <v>37918334</v>
      </c>
      <c r="AE99" s="137">
        <f t="shared" si="40"/>
        <v>-8.0632121971790927E-3</v>
      </c>
      <c r="AP99" s="138" t="s">
        <v>504</v>
      </c>
      <c r="AQ99">
        <v>23983893.93</v>
      </c>
      <c r="AR99">
        <v>9236793.7999999989</v>
      </c>
      <c r="AS99">
        <v>840662.24</v>
      </c>
      <c r="AT99">
        <v>2234799.8899999997</v>
      </c>
      <c r="AU99">
        <v>66791.069999999992</v>
      </c>
      <c r="AV99"/>
      <c r="AW99">
        <v>278644.66000000003</v>
      </c>
      <c r="AX99">
        <v>317529.27000000008</v>
      </c>
      <c r="AY99">
        <v>307697.32000000007</v>
      </c>
      <c r="AZ99">
        <v>50424.480000000003</v>
      </c>
      <c r="BA99">
        <v>909326.17</v>
      </c>
      <c r="BB99">
        <v>38226562.830000006</v>
      </c>
      <c r="BD99" s="138" t="s">
        <v>504</v>
      </c>
      <c r="BE99" s="139">
        <f t="shared" si="41"/>
        <v>2.9975622892379761E-3</v>
      </c>
      <c r="BF99" s="140">
        <f t="shared" si="42"/>
        <v>1.2739306315779686E-2</v>
      </c>
      <c r="BG99" s="140">
        <f t="shared" si="43"/>
        <v>1.0279659880325198E-2</v>
      </c>
      <c r="BH99" s="140">
        <f t="shared" si="44"/>
        <v>1.8135714344680309E-3</v>
      </c>
      <c r="BI99" s="140">
        <f t="shared" si="45"/>
        <v>3.8261910172877833E-2</v>
      </c>
      <c r="BJ99" s="140">
        <f t="shared" si="46"/>
        <v>0</v>
      </c>
      <c r="BK99" s="140">
        <f t="shared" si="47"/>
        <v>2.700474695302546E-3</v>
      </c>
      <c r="BL99" s="140">
        <f t="shared" si="48"/>
        <v>-3.4410871448926628E-3</v>
      </c>
      <c r="BM99" s="140">
        <f t="shared" si="49"/>
        <v>7.8080553794279695E-4</v>
      </c>
      <c r="BN99" s="140">
        <f t="shared" si="50"/>
        <v>1.8669998935365584E-2</v>
      </c>
      <c r="BO99" s="140">
        <f t="shared" si="51"/>
        <v>3.7387409247457981E-4</v>
      </c>
      <c r="BP99" s="140">
        <f t="shared" si="52"/>
        <v>5.8135844767093658E-2</v>
      </c>
    </row>
    <row r="100" spans="1:68" ht="15" x14ac:dyDescent="0.25">
      <c r="A100" s="98">
        <v>94</v>
      </c>
      <c r="B100" s="124">
        <v>7</v>
      </c>
      <c r="C100" s="141" t="s">
        <v>505</v>
      </c>
      <c r="D100" s="126">
        <v>4.1625745543779754E-3</v>
      </c>
      <c r="E100" s="128">
        <f t="shared" si="28"/>
        <v>12748494.273402678</v>
      </c>
      <c r="F100" s="126">
        <v>4.1625745543779754E-3</v>
      </c>
      <c r="G100" s="128">
        <f t="shared" si="36"/>
        <v>4909762.069097721</v>
      </c>
      <c r="H100" s="126">
        <v>4.1625745543779754E-3</v>
      </c>
      <c r="I100" s="128">
        <f t="shared" si="54"/>
        <v>446848.95261361741</v>
      </c>
      <c r="J100" s="126">
        <v>4.1625745543779754E-3</v>
      </c>
      <c r="K100" s="128">
        <f t="shared" si="54"/>
        <v>1187894.4137502469</v>
      </c>
      <c r="L100" s="126">
        <v>4.1625745543779754E-3</v>
      </c>
      <c r="M100" s="128">
        <f t="shared" si="30"/>
        <v>35502.411058434802</v>
      </c>
      <c r="N100" s="129" t="s">
        <v>391</v>
      </c>
      <c r="O100" s="128" t="str">
        <f t="shared" si="37"/>
        <v>NA</v>
      </c>
      <c r="P100" s="126">
        <v>4.1625745543779754E-3</v>
      </c>
      <c r="Q100" s="128">
        <f t="shared" si="31"/>
        <v>148111.89111639172</v>
      </c>
      <c r="R100" s="126">
        <v>4.1625745543779754E-3</v>
      </c>
      <c r="S100" s="128">
        <f t="shared" si="32"/>
        <v>168780.76794672199</v>
      </c>
      <c r="T100" s="126">
        <v>4.1625745543779754E-3</v>
      </c>
      <c r="U100" s="128">
        <f t="shared" si="33"/>
        <v>163554.65559370042</v>
      </c>
      <c r="V100" s="126">
        <v>4.1625745543779754E-3</v>
      </c>
      <c r="W100" s="128">
        <f t="shared" si="34"/>
        <v>26802.838368512552</v>
      </c>
      <c r="X100" s="131">
        <v>2.9906207760657562E-3</v>
      </c>
      <c r="Y100" s="128">
        <f t="shared" si="35"/>
        <v>343415.48088397877</v>
      </c>
      <c r="Z100" s="133" t="e">
        <f t="shared" si="38"/>
        <v>#VALUE!</v>
      </c>
      <c r="AA100" s="134">
        <v>4.4089444781507756E-3</v>
      </c>
      <c r="AB100" s="135">
        <f t="shared" si="39"/>
        <v>20179167.753832005</v>
      </c>
      <c r="AD100" s="142">
        <v>20015330</v>
      </c>
      <c r="AE100" s="137">
        <f t="shared" si="40"/>
        <v>-8.1191531697778485E-3</v>
      </c>
      <c r="AP100" s="138" t="s">
        <v>506</v>
      </c>
      <c r="AQ100">
        <v>12748494.249999998</v>
      </c>
      <c r="AR100">
        <v>4909762.0600000005</v>
      </c>
      <c r="AS100">
        <v>446848.96</v>
      </c>
      <c r="AT100">
        <v>1187894.4299999997</v>
      </c>
      <c r="AU100">
        <v>35502.379999999997</v>
      </c>
      <c r="AV100"/>
      <c r="AW100">
        <v>148111.87</v>
      </c>
      <c r="AX100">
        <v>168780.76</v>
      </c>
      <c r="AY100">
        <v>163554.66</v>
      </c>
      <c r="AZ100">
        <v>26802.840000000004</v>
      </c>
      <c r="BA100">
        <v>343415.48</v>
      </c>
      <c r="BB100">
        <v>20179167.690000001</v>
      </c>
      <c r="BD100" s="138" t="s">
        <v>506</v>
      </c>
      <c r="BE100" s="139">
        <f t="shared" si="41"/>
        <v>2.3402679711580276E-2</v>
      </c>
      <c r="BF100" s="140">
        <f t="shared" si="42"/>
        <v>-9.0977204963564873E-3</v>
      </c>
      <c r="BG100" s="140">
        <f t="shared" si="43"/>
        <v>-7.386382611002773E-3</v>
      </c>
      <c r="BH100" s="140">
        <f t="shared" si="44"/>
        <v>-1.6249752836301923E-2</v>
      </c>
      <c r="BI100" s="140">
        <f t="shared" si="45"/>
        <v>3.1058434804435819E-2</v>
      </c>
      <c r="BJ100" s="140">
        <f t="shared" si="46"/>
        <v>0</v>
      </c>
      <c r="BK100" s="140">
        <f t="shared" si="47"/>
        <v>2.1116391726536676E-2</v>
      </c>
      <c r="BL100" s="140">
        <f t="shared" si="48"/>
        <v>7.9467219766229391E-3</v>
      </c>
      <c r="BM100" s="140">
        <f t="shared" si="49"/>
        <v>4.4062995875719935E-3</v>
      </c>
      <c r="BN100" s="140">
        <f t="shared" si="50"/>
        <v>-1.6314874519594014E-3</v>
      </c>
      <c r="BO100" s="140">
        <f t="shared" si="51"/>
        <v>8.8397879153490067E-4</v>
      </c>
      <c r="BP100" s="140">
        <f t="shared" si="52"/>
        <v>6.3832003623247147E-2</v>
      </c>
    </row>
    <row r="101" spans="1:68" ht="15" x14ac:dyDescent="0.25">
      <c r="A101" s="98">
        <v>95</v>
      </c>
      <c r="B101" s="124">
        <v>2</v>
      </c>
      <c r="C101" s="141" t="s">
        <v>507</v>
      </c>
      <c r="D101" s="126">
        <v>4.2062475917843626E-3</v>
      </c>
      <c r="E101" s="128">
        <f t="shared" si="28"/>
        <v>12882249.347336873</v>
      </c>
      <c r="F101" s="126">
        <v>4.2062475917843626E-3</v>
      </c>
      <c r="G101" s="128">
        <f t="shared" si="36"/>
        <v>4961274.4731877921</v>
      </c>
      <c r="H101" s="126">
        <v>4.2062475917843626E-3</v>
      </c>
      <c r="I101" s="128">
        <f t="shared" si="54"/>
        <v>451537.21723628329</v>
      </c>
      <c r="J101" s="126">
        <v>4.2062475917843626E-3</v>
      </c>
      <c r="K101" s="128">
        <f t="shared" si="54"/>
        <v>1200357.6036556358</v>
      </c>
      <c r="L101" s="126">
        <v>4.2062475917843626E-3</v>
      </c>
      <c r="M101" s="128">
        <f t="shared" si="30"/>
        <v>35874.896429187196</v>
      </c>
      <c r="N101" s="129" t="s">
        <v>391</v>
      </c>
      <c r="O101" s="128" t="str">
        <f t="shared" si="37"/>
        <v>NA</v>
      </c>
      <c r="P101" s="126">
        <v>4.2062475917843626E-3</v>
      </c>
      <c r="Q101" s="128">
        <f t="shared" si="31"/>
        <v>149665.85635510526</v>
      </c>
      <c r="R101" s="126">
        <v>4.2062475917843626E-3</v>
      </c>
      <c r="S101" s="128">
        <f t="shared" si="32"/>
        <v>170551.58759108445</v>
      </c>
      <c r="T101" s="126">
        <v>4.2062475917843626E-3</v>
      </c>
      <c r="U101" s="128">
        <f t="shared" si="33"/>
        <v>165270.64373959918</v>
      </c>
      <c r="V101" s="126">
        <v>4.2062475917843626E-3</v>
      </c>
      <c r="W101" s="128">
        <f t="shared" si="34"/>
        <v>27084.049274737466</v>
      </c>
      <c r="X101" s="131">
        <v>2.6423735327654207E-3</v>
      </c>
      <c r="Y101" s="128">
        <f t="shared" si="35"/>
        <v>303425.95914935309</v>
      </c>
      <c r="Z101" s="133" t="e">
        <f t="shared" si="38"/>
        <v>#VALUE!</v>
      </c>
      <c r="AA101" s="134">
        <v>4.4982714721431907E-3</v>
      </c>
      <c r="AB101" s="135">
        <f t="shared" si="39"/>
        <v>20347291.633955657</v>
      </c>
      <c r="AD101" s="136">
        <v>20181736</v>
      </c>
      <c r="AE101" s="137">
        <f t="shared" si="40"/>
        <v>-8.1364948679153448E-3</v>
      </c>
      <c r="AP101" s="138" t="s">
        <v>223</v>
      </c>
      <c r="AQ101">
        <v>12882249.359999998</v>
      </c>
      <c r="AR101">
        <v>4961274.47</v>
      </c>
      <c r="AS101">
        <v>451537.21</v>
      </c>
      <c r="AT101">
        <v>1200357.58</v>
      </c>
      <c r="AU101">
        <v>35874.86</v>
      </c>
      <c r="AV101"/>
      <c r="AW101">
        <v>149665.84</v>
      </c>
      <c r="AX101">
        <v>170551.58000000002</v>
      </c>
      <c r="AY101">
        <v>165270.64000000001</v>
      </c>
      <c r="AZ101">
        <v>27084.050000000003</v>
      </c>
      <c r="BA101">
        <v>303425.97000000003</v>
      </c>
      <c r="BB101">
        <v>20347291.559999995</v>
      </c>
      <c r="BD101" s="138" t="s">
        <v>223</v>
      </c>
      <c r="BE101" s="139">
        <f t="shared" si="41"/>
        <v>-1.266312412917614E-2</v>
      </c>
      <c r="BF101" s="140">
        <f t="shared" si="42"/>
        <v>-3.1877923756837845E-3</v>
      </c>
      <c r="BG101" s="140">
        <f t="shared" si="43"/>
        <v>7.2362832725048065E-3</v>
      </c>
      <c r="BH101" s="140">
        <f t="shared" si="44"/>
        <v>2.3655635770410299E-2</v>
      </c>
      <c r="BI101" s="140">
        <f t="shared" si="45"/>
        <v>3.6429187195608392E-2</v>
      </c>
      <c r="BJ101" s="140">
        <f t="shared" si="46"/>
        <v>0</v>
      </c>
      <c r="BK101" s="140">
        <f t="shared" si="47"/>
        <v>1.6355105268303305E-2</v>
      </c>
      <c r="BL101" s="140">
        <f t="shared" si="48"/>
        <v>7.59108443162404E-3</v>
      </c>
      <c r="BM101" s="140">
        <f t="shared" si="49"/>
        <v>-3.7395991676021367E-3</v>
      </c>
      <c r="BN101" s="140">
        <f t="shared" si="50"/>
        <v>-7.2526253643445671E-4</v>
      </c>
      <c r="BO101" s="140">
        <f t="shared" si="51"/>
        <v>-1.0850646940525621E-2</v>
      </c>
      <c r="BP101" s="140">
        <f t="shared" si="52"/>
        <v>7.3955662548542023E-2</v>
      </c>
    </row>
    <row r="102" spans="1:68" ht="15" x14ac:dyDescent="0.25">
      <c r="A102" s="98">
        <v>96</v>
      </c>
      <c r="B102" s="124">
        <v>5</v>
      </c>
      <c r="C102" s="141" t="s">
        <v>508</v>
      </c>
      <c r="D102" s="126">
        <v>2.6664606463051195E-2</v>
      </c>
      <c r="E102" s="128">
        <f t="shared" si="28"/>
        <v>81664262.911332145</v>
      </c>
      <c r="F102" s="126">
        <v>2.6664606463051195E-2</v>
      </c>
      <c r="G102" s="128">
        <f t="shared" si="36"/>
        <v>31450937.800505042</v>
      </c>
      <c r="H102" s="126">
        <v>2.6664606463051195E-2</v>
      </c>
      <c r="I102" s="128">
        <f t="shared" si="54"/>
        <v>2862423.5588374268</v>
      </c>
      <c r="J102" s="126">
        <v>2.6664606463051195E-2</v>
      </c>
      <c r="K102" s="128">
        <f t="shared" si="54"/>
        <v>7609410.1495415699</v>
      </c>
      <c r="L102" s="126">
        <v>2.6664606463051195E-2</v>
      </c>
      <c r="M102" s="128">
        <f t="shared" si="30"/>
        <v>227421.2286160728</v>
      </c>
      <c r="N102" s="129">
        <v>7.0499998070070832E-2</v>
      </c>
      <c r="O102" s="128">
        <f t="shared" si="37"/>
        <v>17497792</v>
      </c>
      <c r="P102" s="126">
        <v>2.6664606463051195E-2</v>
      </c>
      <c r="Q102" s="128">
        <f t="shared" si="31"/>
        <v>948774.66758238873</v>
      </c>
      <c r="R102" s="126">
        <v>2.6664606463051195E-2</v>
      </c>
      <c r="S102" s="128">
        <f t="shared" si="32"/>
        <v>1081175.2911662683</v>
      </c>
      <c r="T102" s="126">
        <v>2.6664606463051195E-2</v>
      </c>
      <c r="U102" s="128">
        <f t="shared" si="33"/>
        <v>1047697.8777519075</v>
      </c>
      <c r="V102" s="126">
        <v>2.6664606463051195E-2</v>
      </c>
      <c r="W102" s="128">
        <f t="shared" si="34"/>
        <v>171693.53433861895</v>
      </c>
      <c r="X102" s="131">
        <v>3.9880207673575807E-2</v>
      </c>
      <c r="Y102" s="128">
        <f t="shared" si="35"/>
        <v>4579477.5471301172</v>
      </c>
      <c r="Z102" s="133">
        <f t="shared" si="38"/>
        <v>148020598.36488056</v>
      </c>
      <c r="AA102" s="134">
        <v>2.7514565739425123E-2</v>
      </c>
      <c r="AB102" s="135">
        <f t="shared" si="39"/>
        <v>149141066.56680158</v>
      </c>
      <c r="AD102" s="142">
        <v>148091562</v>
      </c>
      <c r="AE102" s="137">
        <f t="shared" si="40"/>
        <v>-7.0369924995239419E-3</v>
      </c>
      <c r="AP102" s="138" t="s">
        <v>224</v>
      </c>
      <c r="AQ102">
        <v>81664262.920000017</v>
      </c>
      <c r="AR102">
        <v>31450937.809999999</v>
      </c>
      <c r="AS102">
        <v>2862423.56</v>
      </c>
      <c r="AT102">
        <v>7609410.1600000011</v>
      </c>
      <c r="AU102">
        <v>227421.20000000004</v>
      </c>
      <c r="AV102">
        <v>17497791.990000002</v>
      </c>
      <c r="AW102">
        <v>948774.65999999992</v>
      </c>
      <c r="AX102">
        <v>1081175.28</v>
      </c>
      <c r="AY102">
        <v>1047697.8700000001</v>
      </c>
      <c r="AZ102">
        <v>171693.54</v>
      </c>
      <c r="BA102">
        <v>4579477.55</v>
      </c>
      <c r="BB102">
        <v>149141066.54000002</v>
      </c>
      <c r="BD102" s="138" t="s">
        <v>224</v>
      </c>
      <c r="BE102" s="139">
        <f t="shared" si="41"/>
        <v>-8.667871356010437E-3</v>
      </c>
      <c r="BF102" s="140">
        <f t="shared" si="42"/>
        <v>9.4949565827846527E-3</v>
      </c>
      <c r="BG102" s="140">
        <f t="shared" si="43"/>
        <v>-1.162573229521513E-3</v>
      </c>
      <c r="BH102" s="140">
        <f t="shared" si="44"/>
        <v>-1.0458431206643581E-2</v>
      </c>
      <c r="BI102" s="140">
        <f t="shared" si="45"/>
        <v>2.861607275553979E-2</v>
      </c>
      <c r="BJ102" s="140">
        <f t="shared" si="46"/>
        <v>9.9999979138374329E-3</v>
      </c>
      <c r="BK102" s="140">
        <f t="shared" si="47"/>
        <v>7.5823888182640076E-3</v>
      </c>
      <c r="BL102" s="140">
        <f t="shared" si="48"/>
        <v>1.1166268261149526E-2</v>
      </c>
      <c r="BM102" s="140">
        <f t="shared" si="49"/>
        <v>-7.7519073383882642E-3</v>
      </c>
      <c r="BN102" s="140">
        <f t="shared" si="50"/>
        <v>-5.6613810593262315E-3</v>
      </c>
      <c r="BO102" s="140">
        <f t="shared" si="51"/>
        <v>-2.869882620871067E-3</v>
      </c>
      <c r="BP102" s="140">
        <f t="shared" si="52"/>
        <v>2.6801556348800659E-2</v>
      </c>
    </row>
    <row r="103" spans="1:68" ht="15" x14ac:dyDescent="0.25">
      <c r="A103" s="98">
        <v>97</v>
      </c>
      <c r="B103" s="124">
        <v>3</v>
      </c>
      <c r="C103" s="141" t="s">
        <v>509</v>
      </c>
      <c r="D103" s="126">
        <v>3.6359065871828127E-3</v>
      </c>
      <c r="E103" s="128">
        <f t="shared" si="28"/>
        <v>11135496.481757002</v>
      </c>
      <c r="F103" s="126">
        <v>3.6359065871828127E-3</v>
      </c>
      <c r="G103" s="128">
        <f t="shared" si="36"/>
        <v>4288556.5208093449</v>
      </c>
      <c r="H103" s="126">
        <v>3.6359065871828127E-3</v>
      </c>
      <c r="I103" s="128">
        <f t="shared" si="54"/>
        <v>390311.57978295372</v>
      </c>
      <c r="J103" s="126">
        <v>3.6359065871828127E-3</v>
      </c>
      <c r="K103" s="128">
        <f t="shared" si="54"/>
        <v>1037596.5805320209</v>
      </c>
      <c r="L103" s="126">
        <v>3.6359065871828127E-3</v>
      </c>
      <c r="M103" s="128">
        <f t="shared" si="30"/>
        <v>31010.483666285785</v>
      </c>
      <c r="N103" s="129" t="s">
        <v>391</v>
      </c>
      <c r="O103" s="128" t="str">
        <f t="shared" si="37"/>
        <v>NA</v>
      </c>
      <c r="P103" s="126">
        <v>3.6359065871828127E-3</v>
      </c>
      <c r="Q103" s="128">
        <f t="shared" si="31"/>
        <v>129372.09736791484</v>
      </c>
      <c r="R103" s="126">
        <v>3.6359065871828127E-3</v>
      </c>
      <c r="S103" s="128">
        <f t="shared" si="32"/>
        <v>147425.85338725848</v>
      </c>
      <c r="T103" s="126">
        <v>3.6359065871828127E-3</v>
      </c>
      <c r="U103" s="128">
        <f t="shared" si="33"/>
        <v>142860.97266705046</v>
      </c>
      <c r="V103" s="126">
        <v>3.6359065871828127E-3</v>
      </c>
      <c r="W103" s="128">
        <f t="shared" si="34"/>
        <v>23411.620694403064</v>
      </c>
      <c r="X103" s="131">
        <v>1.9519285455818253E-3</v>
      </c>
      <c r="Y103" s="128">
        <f t="shared" si="35"/>
        <v>224141.58474949657</v>
      </c>
      <c r="Z103" s="133" t="e">
        <f t="shared" si="38"/>
        <v>#VALUE!</v>
      </c>
      <c r="AA103" s="134">
        <v>3.9645164668977162E-3</v>
      </c>
      <c r="AB103" s="135">
        <f t="shared" si="39"/>
        <v>17550183.775413733</v>
      </c>
      <c r="AD103" s="136">
        <v>17407077</v>
      </c>
      <c r="AE103" s="137">
        <f t="shared" si="40"/>
        <v>-8.1541468308846676E-3</v>
      </c>
      <c r="AP103" s="138" t="s">
        <v>225</v>
      </c>
      <c r="AQ103">
        <v>11135496.48</v>
      </c>
      <c r="AR103">
        <v>4288556.51</v>
      </c>
      <c r="AS103">
        <v>390311.57000000007</v>
      </c>
      <c r="AT103">
        <v>1037596.55</v>
      </c>
      <c r="AU103">
        <v>31010.529999999995</v>
      </c>
      <c r="AV103"/>
      <c r="AW103">
        <v>129372.08999999998</v>
      </c>
      <c r="AX103">
        <v>147425.84</v>
      </c>
      <c r="AY103">
        <v>142860.98000000001</v>
      </c>
      <c r="AZ103">
        <v>23411.62</v>
      </c>
      <c r="BA103">
        <v>224141.57</v>
      </c>
      <c r="BB103">
        <v>17550183.740000002</v>
      </c>
      <c r="BD103" s="138" t="s">
        <v>225</v>
      </c>
      <c r="BE103" s="139">
        <f t="shared" si="41"/>
        <v>1.7570015043020248E-3</v>
      </c>
      <c r="BF103" s="140">
        <f t="shared" si="42"/>
        <v>-1.0809345170855522E-2</v>
      </c>
      <c r="BG103" s="140">
        <f t="shared" si="43"/>
        <v>9.7829536534845829E-3</v>
      </c>
      <c r="BH103" s="140">
        <f t="shared" si="44"/>
        <v>3.0532020842656493E-2</v>
      </c>
      <c r="BI103" s="140">
        <f t="shared" si="45"/>
        <v>-4.6333714210049948E-2</v>
      </c>
      <c r="BJ103" s="140">
        <f t="shared" si="46"/>
        <v>0</v>
      </c>
      <c r="BK103" s="140">
        <f t="shared" si="47"/>
        <v>7.367914862697944E-3</v>
      </c>
      <c r="BL103" s="140">
        <f t="shared" si="48"/>
        <v>1.3387258484726772E-2</v>
      </c>
      <c r="BM103" s="140">
        <f t="shared" si="49"/>
        <v>7.3329495498910546E-3</v>
      </c>
      <c r="BN103" s="140">
        <f t="shared" si="50"/>
        <v>6.9440306469914503E-4</v>
      </c>
      <c r="BO103" s="140">
        <f t="shared" si="51"/>
        <v>1.4749496564036235E-2</v>
      </c>
      <c r="BP103" s="140">
        <f t="shared" si="52"/>
        <v>3.5413730889558792E-2</v>
      </c>
    </row>
    <row r="104" spans="1:68" ht="15" x14ac:dyDescent="0.25">
      <c r="A104" s="98">
        <v>98</v>
      </c>
      <c r="B104" s="124">
        <v>7</v>
      </c>
      <c r="C104" s="141" t="s">
        <v>510</v>
      </c>
      <c r="D104" s="126">
        <v>7.02902090279165E-3</v>
      </c>
      <c r="E104" s="128">
        <f t="shared" si="28"/>
        <v>21527406.069549102</v>
      </c>
      <c r="F104" s="126">
        <v>7.02902090279165E-3</v>
      </c>
      <c r="G104" s="128">
        <f t="shared" si="36"/>
        <v>8290739.2433667788</v>
      </c>
      <c r="H104" s="126">
        <v>7.02902090279165E-3</v>
      </c>
      <c r="I104" s="128">
        <f t="shared" si="54"/>
        <v>754559.60903048061</v>
      </c>
      <c r="J104" s="126">
        <v>7.02902090279165E-3</v>
      </c>
      <c r="K104" s="128">
        <f t="shared" si="54"/>
        <v>2005906.3340446621</v>
      </c>
      <c r="L104" s="126">
        <v>7.02902090279165E-3</v>
      </c>
      <c r="M104" s="128">
        <f t="shared" si="30"/>
        <v>59950.202973969361</v>
      </c>
      <c r="N104" s="129" t="s">
        <v>391</v>
      </c>
      <c r="O104" s="128" t="str">
        <f t="shared" si="37"/>
        <v>NA</v>
      </c>
      <c r="P104" s="126">
        <v>7.02902090279165E-3</v>
      </c>
      <c r="Q104" s="128">
        <f t="shared" si="31"/>
        <v>250105.20892993108</v>
      </c>
      <c r="R104" s="126">
        <v>7.02902090279165E-3</v>
      </c>
      <c r="S104" s="128">
        <f t="shared" si="32"/>
        <v>285007.15852379904</v>
      </c>
      <c r="T104" s="126">
        <v>7.02902090279165E-3</v>
      </c>
      <c r="U104" s="128">
        <f t="shared" si="33"/>
        <v>276182.22278034408</v>
      </c>
      <c r="V104" s="126">
        <v>7.02902090279165E-3</v>
      </c>
      <c r="W104" s="128">
        <f t="shared" si="34"/>
        <v>45259.900738179938</v>
      </c>
      <c r="X104" s="131">
        <v>7.589682212941283E-3</v>
      </c>
      <c r="Y104" s="128">
        <f t="shared" si="35"/>
        <v>871529.54589669534</v>
      </c>
      <c r="Z104" s="133" t="e">
        <f t="shared" si="38"/>
        <v>#VALUE!</v>
      </c>
      <c r="AA104" s="134">
        <v>7.4005388032650759E-3</v>
      </c>
      <c r="AB104" s="135">
        <f t="shared" si="39"/>
        <v>34366645.495833941</v>
      </c>
      <c r="AD104" s="142">
        <v>34089987</v>
      </c>
      <c r="AE104" s="137">
        <f t="shared" si="40"/>
        <v>-8.0502036740094374E-3</v>
      </c>
      <c r="AP104" s="138" t="s">
        <v>226</v>
      </c>
      <c r="AQ104">
        <v>21527406.07</v>
      </c>
      <c r="AR104">
        <v>8290739.2400000002</v>
      </c>
      <c r="AS104">
        <v>754559.6100000001</v>
      </c>
      <c r="AT104">
        <v>2005906.2999999998</v>
      </c>
      <c r="AU104">
        <v>59950.219999999994</v>
      </c>
      <c r="AV104"/>
      <c r="AW104">
        <v>250105.22000000003</v>
      </c>
      <c r="AX104">
        <v>285007.14</v>
      </c>
      <c r="AY104">
        <v>276182.23</v>
      </c>
      <c r="AZ104">
        <v>45259.910000000011</v>
      </c>
      <c r="BA104">
        <v>871529.56</v>
      </c>
      <c r="BB104">
        <v>34366645.499999993</v>
      </c>
      <c r="BD104" s="138" t="s">
        <v>226</v>
      </c>
      <c r="BE104" s="139">
        <f t="shared" si="41"/>
        <v>-4.5089796185493469E-4</v>
      </c>
      <c r="BF104" s="140">
        <f t="shared" si="42"/>
        <v>-3.3667786046862602E-3</v>
      </c>
      <c r="BG104" s="140">
        <f t="shared" si="43"/>
        <v>-9.6951948944479227E-4</v>
      </c>
      <c r="BH104" s="140">
        <f t="shared" si="44"/>
        <v>3.4044662257656455E-2</v>
      </c>
      <c r="BI104" s="140">
        <f t="shared" si="45"/>
        <v>-1.7026030633132905E-2</v>
      </c>
      <c r="BJ104" s="140">
        <f t="shared" si="46"/>
        <v>0</v>
      </c>
      <c r="BK104" s="140">
        <f t="shared" si="47"/>
        <v>-1.1070068954722956E-2</v>
      </c>
      <c r="BL104" s="140">
        <f t="shared" si="48"/>
        <v>1.8523799022659659E-2</v>
      </c>
      <c r="BM104" s="140">
        <f t="shared" si="49"/>
        <v>7.2196559049189091E-3</v>
      </c>
      <c r="BN104" s="140">
        <f t="shared" si="50"/>
        <v>-9.261820072424598E-3</v>
      </c>
      <c r="BO104" s="140">
        <f t="shared" si="51"/>
        <v>-1.4103304711170495E-2</v>
      </c>
      <c r="BP104" s="140">
        <f t="shared" si="52"/>
        <v>-4.1660517454147339E-3</v>
      </c>
    </row>
    <row r="105" spans="1:68" ht="15" x14ac:dyDescent="0.25">
      <c r="A105" s="98">
        <v>99</v>
      </c>
      <c r="B105" s="124">
        <v>6</v>
      </c>
      <c r="C105" s="141" t="s">
        <v>511</v>
      </c>
      <c r="D105" s="126">
        <v>3.7950045699399536E-3</v>
      </c>
      <c r="E105" s="128">
        <f t="shared" si="28"/>
        <v>11622757.357350476</v>
      </c>
      <c r="F105" s="126">
        <v>3.7950045699399536E-3</v>
      </c>
      <c r="G105" s="128">
        <f t="shared" si="36"/>
        <v>4476212.7971850839</v>
      </c>
      <c r="H105" s="126">
        <v>3.7950045699399536E-3</v>
      </c>
      <c r="I105" s="128">
        <f t="shared" ref="I105:K112" si="55">H105*I$113</f>
        <v>407390.61729429296</v>
      </c>
      <c r="J105" s="126">
        <v>3.7950045699399536E-3</v>
      </c>
      <c r="K105" s="128">
        <f t="shared" si="55"/>
        <v>1082999.1559062852</v>
      </c>
      <c r="L105" s="126">
        <v>3.7950045699399536E-3</v>
      </c>
      <c r="M105" s="128">
        <f t="shared" si="30"/>
        <v>32367.423201812217</v>
      </c>
      <c r="N105" s="129" t="s">
        <v>391</v>
      </c>
      <c r="O105" s="128" t="str">
        <f t="shared" si="37"/>
        <v>NA</v>
      </c>
      <c r="P105" s="126">
        <v>3.7950045699399536E-3</v>
      </c>
      <c r="Q105" s="128">
        <f t="shared" si="31"/>
        <v>135033.08981168488</v>
      </c>
      <c r="R105" s="126">
        <v>3.7950045699399536E-3</v>
      </c>
      <c r="S105" s="128">
        <f t="shared" si="32"/>
        <v>153876.8320682967</v>
      </c>
      <c r="T105" s="126">
        <v>3.7950045699399536E-3</v>
      </c>
      <c r="U105" s="128">
        <f t="shared" si="33"/>
        <v>149112.2038307371</v>
      </c>
      <c r="V105" s="126">
        <v>3.7950045699399536E-3</v>
      </c>
      <c r="W105" s="128">
        <f t="shared" si="34"/>
        <v>24436.053400866207</v>
      </c>
      <c r="X105" s="131">
        <v>2.3675931899917162E-3</v>
      </c>
      <c r="Y105" s="128">
        <f t="shared" si="35"/>
        <v>271872.70294706244</v>
      </c>
      <c r="Z105" s="133" t="e">
        <f t="shared" si="38"/>
        <v>#VALUE!</v>
      </c>
      <c r="AA105" s="134">
        <v>4.0799865755495896E-3</v>
      </c>
      <c r="AB105" s="135">
        <f t="shared" si="39"/>
        <v>18356058.232996598</v>
      </c>
      <c r="AD105" s="136">
        <v>18206688</v>
      </c>
      <c r="AE105" s="137">
        <f t="shared" si="40"/>
        <v>-8.1373806457037956E-3</v>
      </c>
      <c r="AP105" s="138" t="s">
        <v>227</v>
      </c>
      <c r="AQ105">
        <v>11622757.369999999</v>
      </c>
      <c r="AR105">
        <v>4476212.8</v>
      </c>
      <c r="AS105">
        <v>407390.59999999992</v>
      </c>
      <c r="AT105">
        <v>1082999.1800000002</v>
      </c>
      <c r="AU105">
        <v>32367.379999999997</v>
      </c>
      <c r="AV105"/>
      <c r="AW105">
        <v>135033.09</v>
      </c>
      <c r="AX105">
        <v>153876.83000000002</v>
      </c>
      <c r="AY105">
        <v>149112.21</v>
      </c>
      <c r="AZ105">
        <v>24436.069999999996</v>
      </c>
      <c r="BA105">
        <v>271872.69999999995</v>
      </c>
      <c r="BB105">
        <v>18356058.23</v>
      </c>
      <c r="BD105" s="138" t="s">
        <v>227</v>
      </c>
      <c r="BE105" s="139">
        <f t="shared" si="41"/>
        <v>-1.2649523094296455E-2</v>
      </c>
      <c r="BF105" s="140">
        <f t="shared" si="42"/>
        <v>2.8149159625172615E-3</v>
      </c>
      <c r="BG105" s="140">
        <f t="shared" si="43"/>
        <v>1.7294293036684394E-2</v>
      </c>
      <c r="BH105" s="140">
        <f t="shared" si="44"/>
        <v>-2.4093715008348227E-2</v>
      </c>
      <c r="BI105" s="140">
        <f t="shared" si="45"/>
        <v>4.3201812219194835E-2</v>
      </c>
      <c r="BJ105" s="140">
        <f t="shared" si="46"/>
        <v>0</v>
      </c>
      <c r="BK105" s="140">
        <f t="shared" si="47"/>
        <v>-1.8831511260941625E-4</v>
      </c>
      <c r="BL105" s="140">
        <f t="shared" si="48"/>
        <v>2.0682966860476881E-3</v>
      </c>
      <c r="BM105" s="140">
        <f t="shared" si="49"/>
        <v>6.1692628951277584E-3</v>
      </c>
      <c r="BN105" s="140">
        <f t="shared" si="50"/>
        <v>-1.6599133788986364E-2</v>
      </c>
      <c r="BO105" s="140">
        <f t="shared" si="51"/>
        <v>2.94706248678267E-3</v>
      </c>
      <c r="BP105" s="140">
        <f t="shared" si="52"/>
        <v>2.9965974390506744E-3</v>
      </c>
    </row>
    <row r="106" spans="1:68" ht="15" x14ac:dyDescent="0.25">
      <c r="A106" s="98">
        <v>100</v>
      </c>
      <c r="B106" s="124">
        <v>2</v>
      </c>
      <c r="C106" s="141" t="s">
        <v>512</v>
      </c>
      <c r="D106" s="126">
        <v>3.7417818918051935E-3</v>
      </c>
      <c r="E106" s="128">
        <f t="shared" si="28"/>
        <v>11459755.109930662</v>
      </c>
      <c r="F106" s="126">
        <v>3.7417818918051935E-3</v>
      </c>
      <c r="G106" s="128">
        <f t="shared" si="36"/>
        <v>4413436.5795082115</v>
      </c>
      <c r="H106" s="126">
        <v>3.7417818918051935E-3</v>
      </c>
      <c r="I106" s="128">
        <f t="shared" si="55"/>
        <v>401677.2065987906</v>
      </c>
      <c r="J106" s="126">
        <v>3.7417818918051935E-3</v>
      </c>
      <c r="K106" s="128">
        <f t="shared" si="55"/>
        <v>1067810.7379656108</v>
      </c>
      <c r="L106" s="126">
        <v>3.7417818918051935E-3</v>
      </c>
      <c r="M106" s="128">
        <f t="shared" si="30"/>
        <v>31913.489375021363</v>
      </c>
      <c r="N106" s="129" t="s">
        <v>391</v>
      </c>
      <c r="O106" s="128" t="str">
        <f t="shared" si="37"/>
        <v>NA</v>
      </c>
      <c r="P106" s="126">
        <v>3.7417818918051935E-3</v>
      </c>
      <c r="Q106" s="128">
        <f t="shared" si="31"/>
        <v>133139.33117605216</v>
      </c>
      <c r="R106" s="126">
        <v>3.7417818918051935E-3</v>
      </c>
      <c r="S106" s="128">
        <f t="shared" si="32"/>
        <v>151718.8011740949</v>
      </c>
      <c r="T106" s="126">
        <v>3.7417818918051935E-3</v>
      </c>
      <c r="U106" s="128">
        <f t="shared" si="33"/>
        <v>147020.99400893349</v>
      </c>
      <c r="V106" s="126">
        <v>3.7417818918051935E-3</v>
      </c>
      <c r="W106" s="128">
        <f t="shared" si="34"/>
        <v>24093.352310243095</v>
      </c>
      <c r="X106" s="131">
        <v>1.927866426241914E-3</v>
      </c>
      <c r="Y106" s="128">
        <f t="shared" si="35"/>
        <v>221378.51149382489</v>
      </c>
      <c r="Z106" s="133" t="e">
        <f t="shared" si="38"/>
        <v>#VALUE!</v>
      </c>
      <c r="AA106" s="134">
        <v>3.8932638634746517E-3</v>
      </c>
      <c r="AB106" s="135">
        <f>E106+G106+I106+K106+M106+IF(O106="NA",0,O106)+Q106+S106+U106+W106+Y106</f>
        <v>18051944.113541447</v>
      </c>
      <c r="AD106" s="142">
        <v>17904668</v>
      </c>
      <c r="AE106" s="137">
        <f t="shared" si="40"/>
        <v>-8.1584627459028169E-3</v>
      </c>
      <c r="AP106" s="138" t="s">
        <v>513</v>
      </c>
      <c r="AQ106">
        <v>11459755.1</v>
      </c>
      <c r="AR106">
        <v>4413436.5699999994</v>
      </c>
      <c r="AS106">
        <v>401677.2</v>
      </c>
      <c r="AT106">
        <v>1067810.7599999998</v>
      </c>
      <c r="AU106">
        <v>31913.529999999995</v>
      </c>
      <c r="AV106"/>
      <c r="AW106">
        <v>133139.32999999999</v>
      </c>
      <c r="AX106">
        <v>151718.79999999999</v>
      </c>
      <c r="AY106">
        <v>147020.99999999997</v>
      </c>
      <c r="AZ106">
        <v>24093.340000000004</v>
      </c>
      <c r="BA106">
        <v>221378.53000000003</v>
      </c>
      <c r="BB106">
        <v>18051944.16</v>
      </c>
      <c r="BD106" s="138" t="s">
        <v>513</v>
      </c>
      <c r="BE106" s="139">
        <f t="shared" si="41"/>
        <v>9.9306628108024597E-3</v>
      </c>
      <c r="BF106" s="140">
        <f t="shared" si="42"/>
        <v>-9.5082120969891548E-3</v>
      </c>
      <c r="BG106" s="140">
        <f t="shared" si="43"/>
        <v>6.598790583666414E-3</v>
      </c>
      <c r="BH106" s="140">
        <f t="shared" si="44"/>
        <v>-2.2034388966858387E-2</v>
      </c>
      <c r="BI106" s="140">
        <f t="shared" si="45"/>
        <v>-4.0624978631967679E-2</v>
      </c>
      <c r="BJ106" s="140">
        <f t="shared" si="46"/>
        <v>0</v>
      </c>
      <c r="BK106" s="140">
        <f t="shared" si="47"/>
        <v>1.1760521738324314E-3</v>
      </c>
      <c r="BL106" s="140">
        <f t="shared" si="48"/>
        <v>1.1740949121303856E-3</v>
      </c>
      <c r="BM106" s="140">
        <f t="shared" si="49"/>
        <v>5.9910664858762175E-3</v>
      </c>
      <c r="BN106" s="140">
        <f t="shared" si="50"/>
        <v>1.2310243091633311E-2</v>
      </c>
      <c r="BO106" s="140">
        <f t="shared" si="51"/>
        <v>-1.8506175139918923E-2</v>
      </c>
      <c r="BP106" s="140">
        <f t="shared" si="52"/>
        <v>-4.6458553522825241E-2</v>
      </c>
    </row>
    <row r="107" spans="1:68" ht="15" x14ac:dyDescent="0.25">
      <c r="A107" s="98">
        <v>101</v>
      </c>
      <c r="B107" s="124">
        <v>2</v>
      </c>
      <c r="C107" s="141" t="s">
        <v>514</v>
      </c>
      <c r="D107" s="126">
        <v>2.3406436336158215E-2</v>
      </c>
      <c r="E107" s="128">
        <f t="shared" si="28"/>
        <v>71685639.667027563</v>
      </c>
      <c r="F107" s="126">
        <v>2.3406436336158215E-2</v>
      </c>
      <c r="G107" s="128">
        <f t="shared" si="36"/>
        <v>27607921.923020799</v>
      </c>
      <c r="H107" s="126">
        <v>2.3406436336158215E-2</v>
      </c>
      <c r="I107" s="128">
        <f t="shared" si="55"/>
        <v>2512661.6771894796</v>
      </c>
      <c r="J107" s="126">
        <v>2.3406436336158215E-2</v>
      </c>
      <c r="K107" s="128">
        <f t="shared" si="55"/>
        <v>6679610.0841677347</v>
      </c>
      <c r="L107" s="126">
        <v>2.3406436336158215E-2</v>
      </c>
      <c r="M107" s="128">
        <f t="shared" si="30"/>
        <v>199632.4422214583</v>
      </c>
      <c r="N107" s="129">
        <v>7.9999999838836808E-2</v>
      </c>
      <c r="O107" s="128">
        <f t="shared" si="37"/>
        <v>19855651</v>
      </c>
      <c r="P107" s="126">
        <v>2.3406436336158215E-2</v>
      </c>
      <c r="Q107" s="128">
        <f t="shared" si="31"/>
        <v>832843.11301947816</v>
      </c>
      <c r="R107" s="126">
        <v>2.3406436336158215E-2</v>
      </c>
      <c r="S107" s="128">
        <f t="shared" si="32"/>
        <v>949065.59584809234</v>
      </c>
      <c r="T107" s="126">
        <v>2.3406436336158215E-2</v>
      </c>
      <c r="U107" s="128">
        <f t="shared" si="33"/>
        <v>919678.81502804579</v>
      </c>
      <c r="V107" s="126">
        <v>2.3406436336158215E-2</v>
      </c>
      <c r="W107" s="128">
        <f t="shared" si="34"/>
        <v>150714.1606007044</v>
      </c>
      <c r="X107" s="131">
        <v>2.9312087716086656E-2</v>
      </c>
      <c r="Y107" s="128">
        <f t="shared" si="35"/>
        <v>3365931.5080314735</v>
      </c>
      <c r="Z107" s="133">
        <f t="shared" si="38"/>
        <v>133775792.71253465</v>
      </c>
      <c r="AA107" s="134">
        <v>2.0145937427165826E-2</v>
      </c>
      <c r="AB107" s="135">
        <f t="shared" si="39"/>
        <v>134759349.98615485</v>
      </c>
      <c r="AD107" s="136">
        <v>133838084</v>
      </c>
      <c r="AE107" s="137">
        <f t="shared" si="40"/>
        <v>-6.836378969247825E-3</v>
      </c>
      <c r="AP107" s="138" t="s">
        <v>228</v>
      </c>
      <c r="AQ107">
        <v>71685639.659999996</v>
      </c>
      <c r="AR107">
        <v>27607921.919999998</v>
      </c>
      <c r="AS107">
        <v>2512661.6799999997</v>
      </c>
      <c r="AT107">
        <v>6679610.0899999999</v>
      </c>
      <c r="AU107">
        <v>199632.43</v>
      </c>
      <c r="AV107">
        <v>19855651.039999999</v>
      </c>
      <c r="AW107">
        <v>832843.12000000011</v>
      </c>
      <c r="AX107">
        <v>949065.58</v>
      </c>
      <c r="AY107">
        <v>919678.81</v>
      </c>
      <c r="AZ107">
        <v>150714.15000000002</v>
      </c>
      <c r="BA107">
        <v>3365931.5</v>
      </c>
      <c r="BB107">
        <v>134759349.98000002</v>
      </c>
      <c r="BD107" s="138" t="s">
        <v>228</v>
      </c>
      <c r="BE107" s="139">
        <f t="shared" si="41"/>
        <v>7.0275664329528809E-3</v>
      </c>
      <c r="BF107" s="140">
        <f t="shared" si="42"/>
        <v>-3.0208006501197815E-3</v>
      </c>
      <c r="BG107" s="140">
        <f t="shared" si="43"/>
        <v>-2.8105201199650764E-3</v>
      </c>
      <c r="BH107" s="140">
        <f t="shared" si="44"/>
        <v>-5.832265131175518E-3</v>
      </c>
      <c r="BI107" s="140">
        <f t="shared" si="45"/>
        <v>1.2221458309795707E-2</v>
      </c>
      <c r="BJ107" s="140">
        <f t="shared" si="46"/>
        <v>-3.9999999105930328E-2</v>
      </c>
      <c r="BK107" s="140">
        <f t="shared" si="47"/>
        <v>-6.9805219536647201E-3</v>
      </c>
      <c r="BL107" s="140">
        <f t="shared" si="48"/>
        <v>1.5848092385567725E-2</v>
      </c>
      <c r="BM107" s="140">
        <f t="shared" si="49"/>
        <v>-5.0280457362532616E-3</v>
      </c>
      <c r="BN107" s="140">
        <f t="shared" si="50"/>
        <v>1.060070437961258E-2</v>
      </c>
      <c r="BO107" s="140">
        <f t="shared" si="51"/>
        <v>8.0314734950661659E-3</v>
      </c>
      <c r="BP107" s="140">
        <f t="shared" si="52"/>
        <v>6.1548352241516113E-3</v>
      </c>
    </row>
    <row r="108" spans="1:68" ht="15" x14ac:dyDescent="0.25">
      <c r="A108" s="98">
        <v>102</v>
      </c>
      <c r="B108" s="124">
        <v>6</v>
      </c>
      <c r="C108" s="141" t="s">
        <v>515</v>
      </c>
      <c r="D108" s="126">
        <v>2.8537764171828517E-2</v>
      </c>
      <c r="E108" s="128">
        <f t="shared" si="28"/>
        <v>87401082.75961861</v>
      </c>
      <c r="F108" s="126">
        <v>2.8537764171828517E-2</v>
      </c>
      <c r="G108" s="128">
        <f t="shared" si="36"/>
        <v>33660329.740000807</v>
      </c>
      <c r="H108" s="126">
        <v>2.8537764171828517E-2</v>
      </c>
      <c r="I108" s="128">
        <f t="shared" si="55"/>
        <v>3063505.4972658777</v>
      </c>
      <c r="J108" s="126">
        <v>2.8537764171828517E-2</v>
      </c>
      <c r="K108" s="128">
        <f t="shared" si="55"/>
        <v>8143962.3958165422</v>
      </c>
      <c r="L108" s="126">
        <v>2.8537764171828517E-2</v>
      </c>
      <c r="M108" s="128">
        <f t="shared" si="30"/>
        <v>243397.30642213768</v>
      </c>
      <c r="N108" s="129">
        <v>0.10000000080581592</v>
      </c>
      <c r="O108" s="128">
        <f t="shared" si="37"/>
        <v>24819563.999999996</v>
      </c>
      <c r="P108" s="126">
        <v>2.8537764171828517E-2</v>
      </c>
      <c r="Q108" s="128">
        <f t="shared" si="31"/>
        <v>1015424.988671404</v>
      </c>
      <c r="R108" s="126">
        <v>2.8537764171828517E-2</v>
      </c>
      <c r="S108" s="128">
        <f t="shared" si="32"/>
        <v>1157126.6026545502</v>
      </c>
      <c r="T108" s="126">
        <v>2.8537764171828517E-2</v>
      </c>
      <c r="U108" s="128">
        <f t="shared" si="33"/>
        <v>1121297.4397368196</v>
      </c>
      <c r="V108" s="126">
        <v>2.8537764171828517E-2</v>
      </c>
      <c r="W108" s="128">
        <f t="shared" si="34"/>
        <v>183754.80619122466</v>
      </c>
      <c r="X108" s="131">
        <v>4.0467565515302936E-2</v>
      </c>
      <c r="Y108" s="128">
        <f t="shared" si="35"/>
        <v>4646924.3385394411</v>
      </c>
      <c r="Z108" s="133">
        <f t="shared" si="38"/>
        <v>164257190.08005479</v>
      </c>
      <c r="AA108" s="134">
        <v>2.8597382729833309E-2</v>
      </c>
      <c r="AB108" s="135">
        <f t="shared" si="39"/>
        <v>165456369.87491742</v>
      </c>
      <c r="AD108" s="142">
        <v>164333137</v>
      </c>
      <c r="AE108" s="137">
        <f t="shared" si="40"/>
        <v>-6.7886952661089239E-3</v>
      </c>
      <c r="AP108" s="138" t="s">
        <v>229</v>
      </c>
      <c r="AQ108">
        <v>87401082.75999999</v>
      </c>
      <c r="AR108">
        <v>33660329.75</v>
      </c>
      <c r="AS108">
        <v>3063505.48</v>
      </c>
      <c r="AT108">
        <v>8143962.4299999997</v>
      </c>
      <c r="AU108">
        <v>243397.29000000004</v>
      </c>
      <c r="AV108">
        <v>24819564.02</v>
      </c>
      <c r="AW108">
        <v>1015424.99</v>
      </c>
      <c r="AX108">
        <v>1157126.6100000001</v>
      </c>
      <c r="AY108">
        <v>1121297.44</v>
      </c>
      <c r="AZ108">
        <v>183754.82</v>
      </c>
      <c r="BA108">
        <v>4646924.3299999991</v>
      </c>
      <c r="BB108">
        <v>165456369.91999999</v>
      </c>
      <c r="BD108" s="138" t="s">
        <v>229</v>
      </c>
      <c r="BE108" s="139">
        <f t="shared" si="41"/>
        <v>-3.8138031959533691E-4</v>
      </c>
      <c r="BF108" s="140">
        <f t="shared" si="42"/>
        <v>9.9991932511329651E-3</v>
      </c>
      <c r="BG108" s="140">
        <f t="shared" si="43"/>
        <v>1.7265877686440945E-2</v>
      </c>
      <c r="BH108" s="140">
        <f t="shared" si="44"/>
        <v>-3.4183457493782043E-2</v>
      </c>
      <c r="BI108" s="140">
        <f t="shared" si="45"/>
        <v>1.6422137647168711E-2</v>
      </c>
      <c r="BJ108" s="140">
        <f t="shared" si="46"/>
        <v>-2.0000003278255463E-2</v>
      </c>
      <c r="BK108" s="140">
        <f t="shared" si="47"/>
        <v>-1.3285960303619504E-3</v>
      </c>
      <c r="BL108" s="140">
        <f t="shared" si="48"/>
        <v>-7.3454498779028654E-3</v>
      </c>
      <c r="BM108" s="140">
        <f t="shared" si="49"/>
        <v>2.6318035088479519E-4</v>
      </c>
      <c r="BN108" s="140">
        <f t="shared" si="50"/>
        <v>-1.3808775343932211E-2</v>
      </c>
      <c r="BO108" s="140">
        <f t="shared" si="51"/>
        <v>8.5394419729709625E-3</v>
      </c>
      <c r="BP108" s="140">
        <f t="shared" si="52"/>
        <v>-4.5082569122314453E-2</v>
      </c>
    </row>
    <row r="109" spans="1:68" ht="15" x14ac:dyDescent="0.25">
      <c r="A109" s="98">
        <v>103</v>
      </c>
      <c r="B109" s="124">
        <v>3</v>
      </c>
      <c r="C109" s="143" t="s">
        <v>516</v>
      </c>
      <c r="D109" s="126">
        <v>3.5664114824015278E-3</v>
      </c>
      <c r="E109" s="128">
        <f t="shared" si="28"/>
        <v>10922657.544277329</v>
      </c>
      <c r="F109" s="126">
        <v>3.5664114824015278E-3</v>
      </c>
      <c r="G109" s="128">
        <f t="shared" si="36"/>
        <v>4206586.9548626486</v>
      </c>
      <c r="H109" s="126">
        <v>3.5664114824015278E-3</v>
      </c>
      <c r="I109" s="128">
        <f t="shared" si="55"/>
        <v>382851.337479154</v>
      </c>
      <c r="J109" s="126">
        <v>3.5664114824015278E-3</v>
      </c>
      <c r="K109" s="128">
        <f t="shared" si="55"/>
        <v>1017764.4200087093</v>
      </c>
      <c r="L109" s="126">
        <v>3.5664114824015278E-3</v>
      </c>
      <c r="M109" s="128">
        <f t="shared" si="30"/>
        <v>30417.763044885924</v>
      </c>
      <c r="N109" s="129" t="s">
        <v>391</v>
      </c>
      <c r="O109" s="128" t="str">
        <f t="shared" si="37"/>
        <v>NA</v>
      </c>
      <c r="P109" s="126">
        <v>3.5664114824015278E-3</v>
      </c>
      <c r="Q109" s="128">
        <f t="shared" si="31"/>
        <v>126899.33651810323</v>
      </c>
      <c r="R109" s="126">
        <v>3.5664114824015278E-3</v>
      </c>
      <c r="S109" s="128">
        <f t="shared" si="32"/>
        <v>144608.02105770013</v>
      </c>
      <c r="T109" s="126">
        <v>3.5664114824015278E-3</v>
      </c>
      <c r="U109" s="128">
        <f t="shared" si="33"/>
        <v>140130.39144154501</v>
      </c>
      <c r="V109" s="126">
        <v>3.5664114824015278E-3</v>
      </c>
      <c r="W109" s="128">
        <f t="shared" si="34"/>
        <v>22964.141367240845</v>
      </c>
      <c r="X109" s="131">
        <v>1.8335659970160274E-3</v>
      </c>
      <c r="Y109" s="128">
        <f t="shared" si="35"/>
        <v>210549.91446495792</v>
      </c>
      <c r="Z109" s="133" t="e">
        <f t="shared" si="38"/>
        <v>#VALUE!</v>
      </c>
      <c r="AA109" s="134">
        <v>3.8533570217016253E-3</v>
      </c>
      <c r="AB109" s="135">
        <f t="shared" si="39"/>
        <v>17205429.824522275</v>
      </c>
      <c r="AD109" s="136">
        <v>17065057</v>
      </c>
      <c r="AE109" s="137">
        <f t="shared" si="40"/>
        <v>-8.1586351491322873E-3</v>
      </c>
      <c r="AP109" s="138" t="s">
        <v>230</v>
      </c>
      <c r="AQ109">
        <v>10922657.550000001</v>
      </c>
      <c r="AR109">
        <v>4206586.96</v>
      </c>
      <c r="AS109">
        <v>382851.32</v>
      </c>
      <c r="AT109">
        <v>1017764.4500000001</v>
      </c>
      <c r="AU109">
        <v>30417.730000000007</v>
      </c>
      <c r="AV109"/>
      <c r="AW109">
        <v>126899.33</v>
      </c>
      <c r="AX109">
        <v>144608.02000000002</v>
      </c>
      <c r="AY109">
        <v>140130.39999999997</v>
      </c>
      <c r="AZ109">
        <v>22964.14</v>
      </c>
      <c r="BA109">
        <v>210549.91999999998</v>
      </c>
      <c r="BB109">
        <v>17205429.82</v>
      </c>
      <c r="BD109" s="138" t="s">
        <v>230</v>
      </c>
      <c r="BE109" s="139">
        <f t="shared" si="41"/>
        <v>-5.7226717472076416E-3</v>
      </c>
      <c r="BF109" s="140">
        <f t="shared" si="42"/>
        <v>5.1373513415455818E-3</v>
      </c>
      <c r="BG109" s="140">
        <f t="shared" si="43"/>
        <v>1.7479153990279883E-2</v>
      </c>
      <c r="BH109" s="140">
        <f t="shared" si="44"/>
        <v>-2.9991290764883161E-2</v>
      </c>
      <c r="BI109" s="140">
        <f t="shared" si="45"/>
        <v>3.3044885916751809E-2</v>
      </c>
      <c r="BJ109" s="140">
        <f t="shared" si="46"/>
        <v>0</v>
      </c>
      <c r="BK109" s="140">
        <f t="shared" si="47"/>
        <v>6.5181032259715721E-3</v>
      </c>
      <c r="BL109" s="140">
        <f t="shared" si="48"/>
        <v>1.0577001085039228E-3</v>
      </c>
      <c r="BM109" s="140">
        <f t="shared" si="49"/>
        <v>8.558454952435568E-3</v>
      </c>
      <c r="BN109" s="140">
        <f t="shared" si="50"/>
        <v>1.3672408458660357E-3</v>
      </c>
      <c r="BO109" s="140">
        <f t="shared" si="51"/>
        <v>-5.5350420589093119E-3</v>
      </c>
      <c r="BP109" s="140">
        <f t="shared" si="52"/>
        <v>4.5222751796245575E-3</v>
      </c>
    </row>
    <row r="110" spans="1:68" ht="15" x14ac:dyDescent="0.25">
      <c r="A110" s="98">
        <v>104</v>
      </c>
      <c r="B110" s="124">
        <v>6</v>
      </c>
      <c r="C110" s="141" t="s">
        <v>517</v>
      </c>
      <c r="D110" s="126">
        <v>7.4268718909920378E-3</v>
      </c>
      <c r="E110" s="128">
        <f t="shared" si="28"/>
        <v>22745882.994942732</v>
      </c>
      <c r="F110" s="126">
        <v>7.4268718909920378E-3</v>
      </c>
      <c r="G110" s="128">
        <f t="shared" si="36"/>
        <v>8760004.998370463</v>
      </c>
      <c r="H110" s="126">
        <v>7.4268718909920378E-3</v>
      </c>
      <c r="I110" s="128">
        <f t="shared" si="55"/>
        <v>797268.58518242894</v>
      </c>
      <c r="J110" s="126">
        <v>7.4268718909920378E-3</v>
      </c>
      <c r="K110" s="128">
        <f t="shared" si="55"/>
        <v>2119443.0311570768</v>
      </c>
      <c r="L110" s="126">
        <v>7.4268718909920378E-3</v>
      </c>
      <c r="M110" s="128">
        <f t="shared" si="30"/>
        <v>63343.456149035992</v>
      </c>
      <c r="N110" s="129" t="s">
        <v>391</v>
      </c>
      <c r="O110" s="128" t="str">
        <f t="shared" si="37"/>
        <v>NA</v>
      </c>
      <c r="P110" s="126">
        <v>7.4268718909920378E-3</v>
      </c>
      <c r="Q110" s="128">
        <f t="shared" si="31"/>
        <v>264261.46282402863</v>
      </c>
      <c r="R110" s="126">
        <v>7.4268718909920378E-3</v>
      </c>
      <c r="S110" s="128">
        <f t="shared" si="32"/>
        <v>301138.90449966368</v>
      </c>
      <c r="T110" s="126">
        <v>7.4268718909920378E-3</v>
      </c>
      <c r="U110" s="128">
        <f t="shared" si="33"/>
        <v>291814.46684052318</v>
      </c>
      <c r="V110" s="126">
        <v>7.4268718909920378E-3</v>
      </c>
      <c r="W110" s="128">
        <f t="shared" si="34"/>
        <v>47821.66524045718</v>
      </c>
      <c r="X110" s="131">
        <v>9.3469139566068893E-3</v>
      </c>
      <c r="Y110" s="128">
        <f t="shared" si="35"/>
        <v>1073313.9343103229</v>
      </c>
      <c r="Z110" s="133" t="e">
        <f t="shared" si="38"/>
        <v>#VALUE!</v>
      </c>
      <c r="AA110" s="134">
        <v>7.7219291154769611E-3</v>
      </c>
      <c r="AB110" s="135">
        <f t="shared" si="39"/>
        <v>36464293.499516733</v>
      </c>
      <c r="AD110" s="142">
        <v>36171974</v>
      </c>
      <c r="AE110" s="137">
        <f t="shared" si="40"/>
        <v>-8.0165957286573164E-3</v>
      </c>
      <c r="AP110" s="138" t="s">
        <v>231</v>
      </c>
      <c r="AQ110">
        <v>22745883.009999998</v>
      </c>
      <c r="AR110">
        <v>8760004.9900000021</v>
      </c>
      <c r="AS110">
        <v>797268.6</v>
      </c>
      <c r="AT110">
        <v>2119443.0500000003</v>
      </c>
      <c r="AU110">
        <v>63343.460000000014</v>
      </c>
      <c r="AV110"/>
      <c r="AW110">
        <v>264261.47000000003</v>
      </c>
      <c r="AX110">
        <v>301138.93</v>
      </c>
      <c r="AY110">
        <v>291814.47000000003</v>
      </c>
      <c r="AZ110">
        <v>47821.670000000006</v>
      </c>
      <c r="BA110">
        <v>1073313.93</v>
      </c>
      <c r="BB110">
        <v>36464293.580000006</v>
      </c>
      <c r="BD110" s="138" t="s">
        <v>231</v>
      </c>
      <c r="BE110" s="139">
        <f t="shared" si="41"/>
        <v>-1.5057265758514404E-2</v>
      </c>
      <c r="BF110" s="140">
        <f t="shared" si="42"/>
        <v>-8.3704609423875809E-3</v>
      </c>
      <c r="BG110" s="140">
        <f t="shared" si="43"/>
        <v>-1.4817571034654975E-2</v>
      </c>
      <c r="BH110" s="140">
        <f t="shared" si="44"/>
        <v>-1.8842923454940319E-2</v>
      </c>
      <c r="BI110" s="140">
        <f t="shared" si="45"/>
        <v>-3.8509640216943808E-3</v>
      </c>
      <c r="BJ110" s="140">
        <f t="shared" si="46"/>
        <v>0</v>
      </c>
      <c r="BK110" s="140">
        <f t="shared" si="47"/>
        <v>-7.1759714046493173E-3</v>
      </c>
      <c r="BL110" s="140">
        <f t="shared" si="48"/>
        <v>-2.5500336312688887E-2</v>
      </c>
      <c r="BM110" s="140">
        <f t="shared" si="49"/>
        <v>3.1594768515788019E-3</v>
      </c>
      <c r="BN110" s="140">
        <f t="shared" si="50"/>
        <v>-4.7595428259228356E-3</v>
      </c>
      <c r="BO110" s="140">
        <f t="shared" si="51"/>
        <v>4.3103229254484177E-3</v>
      </c>
      <c r="BP110" s="140">
        <f t="shared" si="52"/>
        <v>-8.0483272671699524E-2</v>
      </c>
    </row>
    <row r="111" spans="1:68" ht="15" x14ac:dyDescent="0.25">
      <c r="A111" s="98">
        <v>105</v>
      </c>
      <c r="B111" s="124">
        <v>2</v>
      </c>
      <c r="C111" s="143" t="s">
        <v>518</v>
      </c>
      <c r="D111" s="126">
        <v>3.5079132105321365E-3</v>
      </c>
      <c r="E111" s="128">
        <f t="shared" si="28"/>
        <v>10743498.018318441</v>
      </c>
      <c r="F111" s="126">
        <v>3.5079132105321365E-3</v>
      </c>
      <c r="G111" s="128">
        <f t="shared" si="36"/>
        <v>4137588.1675544363</v>
      </c>
      <c r="H111" s="126">
        <v>3.5079132105321365E-3</v>
      </c>
      <c r="I111" s="128">
        <f t="shared" si="55"/>
        <v>376571.59613805258</v>
      </c>
      <c r="J111" s="126">
        <v>3.5079132105321365E-3</v>
      </c>
      <c r="K111" s="128">
        <f t="shared" si="55"/>
        <v>1001070.4798858573</v>
      </c>
      <c r="L111" s="126">
        <v>3.5079132105321365E-3</v>
      </c>
      <c r="M111" s="128">
        <f t="shared" si="30"/>
        <v>29918.833916534117</v>
      </c>
      <c r="N111" s="129" t="s">
        <v>391</v>
      </c>
      <c r="O111" s="128" t="str">
        <f t="shared" si="37"/>
        <v>NA</v>
      </c>
      <c r="P111" s="126">
        <v>3.5079132105321365E-3</v>
      </c>
      <c r="Q111" s="128">
        <f t="shared" si="31"/>
        <v>124817.8627665992</v>
      </c>
      <c r="R111" s="126">
        <v>3.5079132105321365E-3</v>
      </c>
      <c r="S111" s="128">
        <f t="shared" si="32"/>
        <v>142236.0795775679</v>
      </c>
      <c r="T111" s="126">
        <v>3.5079132105321365E-3</v>
      </c>
      <c r="U111" s="128">
        <f t="shared" si="33"/>
        <v>137831.89454174481</v>
      </c>
      <c r="V111" s="126">
        <v>3.5079132105321365E-3</v>
      </c>
      <c r="W111" s="128">
        <f t="shared" si="34"/>
        <v>22587.470702182476</v>
      </c>
      <c r="X111" s="131">
        <v>1.4786088653836414E-3</v>
      </c>
      <c r="Y111" s="128">
        <f t="shared" si="35"/>
        <v>169789.89065040613</v>
      </c>
      <c r="Z111" s="133" t="e">
        <f t="shared" si="38"/>
        <v>#VALUE!</v>
      </c>
      <c r="AA111" s="134">
        <v>3.6806046923861949E-3</v>
      </c>
      <c r="AB111" s="135">
        <f t="shared" si="39"/>
        <v>16885910.294051819</v>
      </c>
      <c r="AD111" s="136">
        <v>16747840</v>
      </c>
      <c r="AE111" s="137">
        <f t="shared" si="40"/>
        <v>-8.1766568486659752E-3</v>
      </c>
      <c r="AP111" s="138" t="s">
        <v>519</v>
      </c>
      <c r="AQ111">
        <v>10743498.02</v>
      </c>
      <c r="AR111">
        <v>4137588.1700000004</v>
      </c>
      <c r="AS111">
        <v>376571.6</v>
      </c>
      <c r="AT111">
        <v>1001070.4600000002</v>
      </c>
      <c r="AU111">
        <v>29918.889999999992</v>
      </c>
      <c r="AV111"/>
      <c r="AW111">
        <v>124817.86</v>
      </c>
      <c r="AX111">
        <v>142236.08000000002</v>
      </c>
      <c r="AY111">
        <v>137831.88999999998</v>
      </c>
      <c r="AZ111">
        <v>22587.439999999999</v>
      </c>
      <c r="BA111">
        <v>169789.9</v>
      </c>
      <c r="BB111">
        <v>16885910.309999999</v>
      </c>
      <c r="BD111" s="138" t="s">
        <v>519</v>
      </c>
      <c r="BE111" s="139">
        <f t="shared" si="41"/>
        <v>-1.6815587878227234E-3</v>
      </c>
      <c r="BF111" s="140">
        <f t="shared" si="42"/>
        <v>2.4455641396343708E-3</v>
      </c>
      <c r="BG111" s="140">
        <f t="shared" si="43"/>
        <v>-3.8619473925791681E-3</v>
      </c>
      <c r="BH111" s="140">
        <f t="shared" si="44"/>
        <v>1.9885857123881578E-2</v>
      </c>
      <c r="BI111" s="140">
        <f t="shared" si="45"/>
        <v>-5.608346587541746E-2</v>
      </c>
      <c r="BJ111" s="140">
        <f t="shared" si="46"/>
        <v>0</v>
      </c>
      <c r="BK111" s="140">
        <f t="shared" si="47"/>
        <v>2.7665991947287694E-3</v>
      </c>
      <c r="BL111" s="140">
        <f t="shared" si="48"/>
        <v>-4.2243211646564305E-4</v>
      </c>
      <c r="BM111" s="140">
        <f t="shared" si="49"/>
        <v>-4.5417448272928596E-3</v>
      </c>
      <c r="BN111" s="140">
        <f t="shared" si="50"/>
        <v>3.070218247739831E-2</v>
      </c>
      <c r="BO111" s="140">
        <f t="shared" si="51"/>
        <v>-9.3495938635896891E-3</v>
      </c>
      <c r="BP111" s="140">
        <f t="shared" si="52"/>
        <v>-1.5948180109262466E-2</v>
      </c>
    </row>
    <row r="112" spans="1:68" ht="15.75" thickBot="1" x14ac:dyDescent="0.3">
      <c r="A112" s="98">
        <v>106</v>
      </c>
      <c r="B112" s="144">
        <v>4</v>
      </c>
      <c r="C112" s="145" t="s">
        <v>520</v>
      </c>
      <c r="D112" s="127">
        <v>3.2062450162764831E-3</v>
      </c>
      <c r="E112" s="128">
        <f t="shared" si="28"/>
        <v>9819594.9874667544</v>
      </c>
      <c r="F112" s="127">
        <v>3.2062450162764831E-3</v>
      </c>
      <c r="G112" s="128">
        <f t="shared" si="36"/>
        <v>3781770.1423729178</v>
      </c>
      <c r="H112" s="127">
        <v>3.2062450162764831E-3</v>
      </c>
      <c r="I112" s="128">
        <f t="shared" si="55"/>
        <v>344187.76375763206</v>
      </c>
      <c r="J112" s="127">
        <v>3.2062450162764831E-3</v>
      </c>
      <c r="K112" s="128">
        <f t="shared" si="55"/>
        <v>914981.94067026023</v>
      </c>
      <c r="L112" s="127">
        <v>3.2062450162764831E-3</v>
      </c>
      <c r="M112" s="128">
        <f t="shared" si="30"/>
        <v>27345.919462796392</v>
      </c>
      <c r="N112" s="129" t="s">
        <v>391</v>
      </c>
      <c r="O112" s="128" t="str">
        <f t="shared" si="37"/>
        <v>NA</v>
      </c>
      <c r="P112" s="127">
        <v>3.2062450162764831E-3</v>
      </c>
      <c r="Q112" s="128">
        <f t="shared" si="31"/>
        <v>114083.96571390158</v>
      </c>
      <c r="R112" s="127">
        <v>3.2062450162764831E-3</v>
      </c>
      <c r="S112" s="128">
        <f t="shared" si="32"/>
        <v>130004.27716143591</v>
      </c>
      <c r="T112" s="127">
        <v>3.2062450162764831E-3</v>
      </c>
      <c r="U112" s="128">
        <f t="shared" si="33"/>
        <v>125978.83654350079</v>
      </c>
      <c r="V112" s="127">
        <v>3.2062450162764831E-3</v>
      </c>
      <c r="W112" s="128">
        <f t="shared" si="34"/>
        <v>20645.027691029354</v>
      </c>
      <c r="X112" s="132">
        <v>1.0555534696826338E-3</v>
      </c>
      <c r="Y112" s="128">
        <f t="shared" si="35"/>
        <v>121210.08631080402</v>
      </c>
      <c r="Z112" s="146" t="e">
        <f t="shared" si="38"/>
        <v>#VALUE!</v>
      </c>
      <c r="AA112" s="147">
        <v>3.4841840576800209E-3</v>
      </c>
      <c r="AB112" s="148">
        <f t="shared" si="39"/>
        <v>15399802.947151031</v>
      </c>
      <c r="AD112" s="142">
        <v>15273607</v>
      </c>
      <c r="AE112" s="137">
        <f t="shared" si="40"/>
        <v>-8.194646878541878E-3</v>
      </c>
      <c r="AP112" s="138" t="s">
        <v>232</v>
      </c>
      <c r="AQ112">
        <v>9819594.9900000002</v>
      </c>
      <c r="AR112">
        <v>3781770.14</v>
      </c>
      <c r="AS112">
        <v>344187.77</v>
      </c>
      <c r="AT112">
        <v>914981.91</v>
      </c>
      <c r="AU112">
        <v>27345.970000000008</v>
      </c>
      <c r="AV112"/>
      <c r="AW112">
        <v>114083.95999999999</v>
      </c>
      <c r="AX112">
        <v>130004.27000000002</v>
      </c>
      <c r="AY112">
        <v>125978.84000000001</v>
      </c>
      <c r="AZ112">
        <v>20645.04</v>
      </c>
      <c r="BA112">
        <v>121210.09</v>
      </c>
      <c r="BB112">
        <v>15399802.979999999</v>
      </c>
      <c r="BD112" s="138" t="s">
        <v>232</v>
      </c>
      <c r="BE112" s="139">
        <f t="shared" si="41"/>
        <v>-2.5332458317279816E-3</v>
      </c>
      <c r="BF112" s="140">
        <f t="shared" si="42"/>
        <v>-2.3729177191853523E-3</v>
      </c>
      <c r="BG112" s="140">
        <f t="shared" si="43"/>
        <v>-6.2423679628409445E-3</v>
      </c>
      <c r="BH112" s="140">
        <f t="shared" si="44"/>
        <v>3.0670260195620358E-2</v>
      </c>
      <c r="BI112" s="140">
        <f t="shared" si="45"/>
        <v>-5.0537203616840998E-2</v>
      </c>
      <c r="BJ112" s="140">
        <f t="shared" si="46"/>
        <v>0</v>
      </c>
      <c r="BK112" s="140">
        <f t="shared" si="47"/>
        <v>5.7139015843858942E-3</v>
      </c>
      <c r="BL112" s="140">
        <f t="shared" si="48"/>
        <v>7.1614358894294128E-3</v>
      </c>
      <c r="BM112" s="140">
        <f t="shared" si="49"/>
        <v>3.4564992238301784E-3</v>
      </c>
      <c r="BN112" s="140">
        <f t="shared" si="50"/>
        <v>-1.230897064669989E-2</v>
      </c>
      <c r="BO112" s="140">
        <f t="shared" si="51"/>
        <v>-3.6891959753120318E-3</v>
      </c>
      <c r="BP112" s="140">
        <f t="shared" si="52"/>
        <v>-3.2848967239260674E-2</v>
      </c>
    </row>
    <row r="113" spans="1:68" s="159" customFormat="1" ht="20.100000000000001" customHeight="1" thickTop="1" thickBot="1" x14ac:dyDescent="0.3">
      <c r="A113" s="149"/>
      <c r="B113" s="150"/>
      <c r="C113" s="151" t="s">
        <v>521</v>
      </c>
      <c r="D113" s="152">
        <f t="shared" ref="D113:X113" si="56">SUM(D7:D112)</f>
        <v>1.0000000000000002</v>
      </c>
      <c r="E113" s="153">
        <f>E117</f>
        <v>3062646472</v>
      </c>
      <c r="F113" s="152">
        <f t="shared" si="56"/>
        <v>1.0000000000000002</v>
      </c>
      <c r="G113" s="153">
        <f>G117</f>
        <v>1179501293</v>
      </c>
      <c r="H113" s="152">
        <f t="shared" si="56"/>
        <v>1.0000000000000002</v>
      </c>
      <c r="I113" s="153">
        <f>I117</f>
        <v>107349177</v>
      </c>
      <c r="J113" s="152">
        <f t="shared" si="56"/>
        <v>1.0000000000000002</v>
      </c>
      <c r="K113" s="153">
        <f>K117</f>
        <v>285374928</v>
      </c>
      <c r="L113" s="152">
        <f t="shared" si="56"/>
        <v>1.0000000000000002</v>
      </c>
      <c r="M113" s="153">
        <f>M117</f>
        <v>8528955</v>
      </c>
      <c r="N113" s="152">
        <f t="shared" si="56"/>
        <v>0.99999999999999978</v>
      </c>
      <c r="O113" s="153">
        <f>O117</f>
        <v>248195638</v>
      </c>
      <c r="P113" s="152">
        <f t="shared" si="56"/>
        <v>1.0000000000000002</v>
      </c>
      <c r="Q113" s="153">
        <f>Q117</f>
        <v>35581799.000000007</v>
      </c>
      <c r="R113" s="152">
        <f t="shared" si="56"/>
        <v>1.0000000000000002</v>
      </c>
      <c r="S113" s="153">
        <f>S117</f>
        <v>40547206</v>
      </c>
      <c r="T113" s="152">
        <f t="shared" si="56"/>
        <v>1.0000000000000002</v>
      </c>
      <c r="U113" s="153">
        <f>U117</f>
        <v>39291706</v>
      </c>
      <c r="V113" s="152">
        <f t="shared" si="56"/>
        <v>1.0000000000000002</v>
      </c>
      <c r="W113" s="153">
        <f>W117</f>
        <v>6439004.9999999991</v>
      </c>
      <c r="X113" s="152">
        <f t="shared" si="56"/>
        <v>0.99999999999999978</v>
      </c>
      <c r="Y113" s="153">
        <f>Y117</f>
        <v>114830835</v>
      </c>
      <c r="Z113" s="154">
        <f t="shared" si="38"/>
        <v>5086266210</v>
      </c>
      <c r="AA113" s="155">
        <f>SUM(AA7:AA112)</f>
        <v>1</v>
      </c>
      <c r="AB113" s="156">
        <f t="shared" ref="AB113" si="57">E113+G113+I113+K113+M113+O113+Q113+S113+U113+W113+Y113</f>
        <v>5128287014</v>
      </c>
      <c r="AC113" s="157"/>
      <c r="AD113" s="158">
        <v>5088927497</v>
      </c>
      <c r="AE113" s="137">
        <f t="shared" si="40"/>
        <v>-7.6749832629394721E-3</v>
      </c>
      <c r="AP113" s="160" t="s">
        <v>387</v>
      </c>
      <c r="AQ113" s="161">
        <v>3062646472.0000005</v>
      </c>
      <c r="AR113" s="161">
        <v>1179501293.0000007</v>
      </c>
      <c r="AS113" s="161">
        <v>107349176.99999997</v>
      </c>
      <c r="AT113" s="161">
        <v>285374928</v>
      </c>
      <c r="AU113" s="161">
        <v>8528955.0000000019</v>
      </c>
      <c r="AV113" s="161">
        <v>248195638</v>
      </c>
      <c r="AW113" s="161">
        <v>35581799</v>
      </c>
      <c r="AX113" s="161">
        <v>40547206</v>
      </c>
      <c r="AY113" s="161">
        <v>39291706.000000015</v>
      </c>
      <c r="AZ113" s="161">
        <v>6439005</v>
      </c>
      <c r="BA113" s="161">
        <v>114830834.99999999</v>
      </c>
      <c r="BB113" s="161">
        <v>5128287013.9999971</v>
      </c>
      <c r="BD113" s="160" t="s">
        <v>387</v>
      </c>
      <c r="BE113" s="139">
        <f t="shared" si="41"/>
        <v>0</v>
      </c>
      <c r="BF113" s="140">
        <f t="shared" si="42"/>
        <v>0</v>
      </c>
      <c r="BG113" s="140">
        <f t="shared" si="43"/>
        <v>0</v>
      </c>
      <c r="BH113" s="140">
        <f t="shared" si="44"/>
        <v>0</v>
      </c>
      <c r="BI113" s="140">
        <f t="shared" si="45"/>
        <v>0</v>
      </c>
      <c r="BJ113" s="140">
        <f t="shared" si="46"/>
        <v>0</v>
      </c>
      <c r="BK113" s="140">
        <f t="shared" si="47"/>
        <v>0</v>
      </c>
      <c r="BL113" s="140">
        <f t="shared" si="48"/>
        <v>0</v>
      </c>
      <c r="BM113" s="140">
        <f t="shared" si="49"/>
        <v>0</v>
      </c>
      <c r="BN113" s="140">
        <f t="shared" si="50"/>
        <v>0</v>
      </c>
      <c r="BO113" s="140">
        <f t="shared" si="51"/>
        <v>0</v>
      </c>
      <c r="BP113" s="140">
        <f t="shared" si="52"/>
        <v>0</v>
      </c>
    </row>
    <row r="114" spans="1:68" x14ac:dyDescent="0.2">
      <c r="A114" s="98"/>
      <c r="B114" s="149" t="s">
        <v>522</v>
      </c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  <c r="M114" s="149"/>
      <c r="N114" s="149"/>
      <c r="O114" s="149"/>
      <c r="P114" s="149"/>
      <c r="Q114" s="149"/>
      <c r="R114" s="149"/>
      <c r="S114" s="149"/>
      <c r="T114" s="98"/>
      <c r="U114" s="98"/>
      <c r="V114" s="98"/>
      <c r="W114" s="98"/>
      <c r="X114" s="98"/>
      <c r="Y114" s="98"/>
      <c r="Z114" s="98"/>
      <c r="AA114" s="98"/>
      <c r="AB114" s="98"/>
      <c r="AC114" s="162"/>
    </row>
    <row r="115" spans="1:68" x14ac:dyDescent="0.2">
      <c r="C115" s="163"/>
    </row>
    <row r="116" spans="1:68" ht="16.5" hidden="1" thickBot="1" x14ac:dyDescent="0.25">
      <c r="C116" s="85" t="s">
        <v>523</v>
      </c>
      <c r="E116" s="158">
        <v>3014715823</v>
      </c>
      <c r="G116" s="158">
        <v>1184730027</v>
      </c>
      <c r="I116" s="158">
        <v>109084750</v>
      </c>
      <c r="K116" s="158">
        <v>286981756</v>
      </c>
      <c r="M116" s="158">
        <v>8528953</v>
      </c>
      <c r="O116" s="158">
        <v>248195638</v>
      </c>
      <c r="Q116" s="158">
        <v>35581799</v>
      </c>
      <c r="S116" s="158">
        <v>40547205</v>
      </c>
      <c r="U116" s="158">
        <v>39291706</v>
      </c>
      <c r="W116" s="158">
        <v>6439005</v>
      </c>
      <c r="Y116" s="158">
        <v>114830835</v>
      </c>
    </row>
    <row r="117" spans="1:68" s="159" customFormat="1" ht="20.100000000000001" hidden="1" customHeight="1" thickTop="1" thickBot="1" x14ac:dyDescent="0.25">
      <c r="B117" s="164"/>
      <c r="C117" s="165" t="s">
        <v>524</v>
      </c>
      <c r="D117" s="166"/>
      <c r="E117" s="167">
        <f>acuerdofogen</f>
        <v>3062646472</v>
      </c>
      <c r="F117" s="166"/>
      <c r="G117" s="167">
        <f>acuerdofomun</f>
        <v>1179501293</v>
      </c>
      <c r="H117" s="166"/>
      <c r="I117" s="167">
        <f>acuerdoieps</f>
        <v>107349177</v>
      </c>
      <c r="J117" s="166"/>
      <c r="K117" s="167">
        <f>acuerdofofir</f>
        <v>285374928</v>
      </c>
      <c r="L117" s="166"/>
      <c r="M117" s="167">
        <f>acuerdofocoisan</f>
        <v>8528955</v>
      </c>
      <c r="N117" s="166"/>
      <c r="O117" s="168">
        <f>acuerdofondoisr</f>
        <v>248195638</v>
      </c>
      <c r="P117" s="166"/>
      <c r="Q117" s="168">
        <f>acuerdoenajenacion</f>
        <v>35581799.000000007</v>
      </c>
      <c r="R117" s="166"/>
      <c r="S117" s="167">
        <f>acuerdoisan</f>
        <v>40547206</v>
      </c>
      <c r="T117" s="166"/>
      <c r="U117" s="167">
        <f>acuerdoestatales</f>
        <v>39291706</v>
      </c>
      <c r="V117" s="166"/>
      <c r="W117" s="167">
        <f>acuerdobebidas</f>
        <v>6439004.9999999991</v>
      </c>
      <c r="X117" s="166"/>
      <c r="Y117" s="167">
        <f>acuerdoiepsgasolinas</f>
        <v>114830835</v>
      </c>
      <c r="Z117" s="169"/>
      <c r="AA117" s="170"/>
      <c r="AB117" s="171"/>
      <c r="AD117" s="171"/>
    </row>
    <row r="118" spans="1:68" x14ac:dyDescent="0.2">
      <c r="G118" s="172"/>
    </row>
  </sheetData>
  <mergeCells count="46">
    <mergeCell ref="R5:S5"/>
    <mergeCell ref="T5:U5"/>
    <mergeCell ref="V5:W5"/>
    <mergeCell ref="X5:Y5"/>
    <mergeCell ref="T4:U4"/>
    <mergeCell ref="V4:W4"/>
    <mergeCell ref="X4:Y4"/>
    <mergeCell ref="D5:E5"/>
    <mergeCell ref="F5:G5"/>
    <mergeCell ref="H5:I5"/>
    <mergeCell ref="J5:K5"/>
    <mergeCell ref="L5:M5"/>
    <mergeCell ref="N5:O5"/>
    <mergeCell ref="P5:Q5"/>
    <mergeCell ref="BH3:BI3"/>
    <mergeCell ref="BJ3:BK3"/>
    <mergeCell ref="D4:E4"/>
    <mergeCell ref="F4:G4"/>
    <mergeCell ref="H4:I4"/>
    <mergeCell ref="J4:K4"/>
    <mergeCell ref="L4:M4"/>
    <mergeCell ref="N4:O4"/>
    <mergeCell ref="P4:Q4"/>
    <mergeCell ref="R4:S4"/>
    <mergeCell ref="BJ2:BK2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AX2:AY2"/>
    <mergeCell ref="AZ2:BA2"/>
    <mergeCell ref="BB2:BC2"/>
    <mergeCell ref="BD2:BE2"/>
    <mergeCell ref="BF2:BG2"/>
    <mergeCell ref="BH2:BI2"/>
    <mergeCell ref="C1:AA1"/>
    <mergeCell ref="C2:AA2"/>
    <mergeCell ref="AP2:AQ2"/>
    <mergeCell ref="AR2:AS2"/>
    <mergeCell ref="AT2:AU2"/>
    <mergeCell ref="AV2:AW2"/>
  </mergeCells>
  <pageMargins left="0.19685039370078741" right="0.19685039370078741" top="0.27559055118110237" bottom="0.27559055118110237" header="0.23622047244094491" footer="0.19685039370078741"/>
  <pageSetup paperSize="5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124"/>
  <sheetViews>
    <sheetView zoomScaleNormal="100" workbookViewId="0">
      <pane xSplit="2" ySplit="4" topLeftCell="C107" activePane="bottomRight" state="frozen"/>
      <selection activeCell="K11" sqref="K11"/>
      <selection pane="topRight" activeCell="K11" sqref="K11"/>
      <selection pane="bottomLeft" activeCell="K11" sqref="K11"/>
      <selection pane="bottomRight" activeCell="A114" sqref="A114"/>
    </sheetView>
  </sheetViews>
  <sheetFormatPr baseColWidth="10" defaultRowHeight="15" x14ac:dyDescent="0.25"/>
  <cols>
    <col min="1" max="1" width="3.42578125" bestFit="1" customWidth="1"/>
    <col min="2" max="2" width="14.85546875" customWidth="1"/>
    <col min="4" max="4" width="12" bestFit="1" customWidth="1"/>
    <col min="5" max="5" width="13.28515625" customWidth="1"/>
    <col min="8" max="8" width="12" bestFit="1" customWidth="1"/>
    <col min="13" max="13" width="12" bestFit="1" customWidth="1"/>
    <col min="16" max="16" width="13.42578125" customWidth="1"/>
    <col min="17" max="17" width="13.140625" customWidth="1"/>
    <col min="18" max="18" width="14" customWidth="1"/>
    <col min="19" max="19" width="11.7109375" bestFit="1" customWidth="1"/>
    <col min="21" max="21" width="12.5703125" customWidth="1"/>
    <col min="25" max="25" width="11.7109375" bestFit="1" customWidth="1"/>
    <col min="26" max="28" width="12.85546875" bestFit="1" customWidth="1"/>
    <col min="29" max="29" width="13.5703125" customWidth="1"/>
    <col min="30" max="30" width="13.7109375" hidden="1" customWidth="1"/>
    <col min="31" max="31" width="13.42578125" hidden="1" customWidth="1"/>
    <col min="32" max="32" width="14.28515625" bestFit="1" customWidth="1"/>
    <col min="253" max="253" width="3.42578125" bestFit="1" customWidth="1"/>
    <col min="254" max="254" width="14.85546875" customWidth="1"/>
    <col min="257" max="257" width="13.28515625" customWidth="1"/>
    <col min="268" max="268" width="13.42578125" customWidth="1"/>
    <col min="269" max="269" width="13.140625" customWidth="1"/>
    <col min="270" max="270" width="14" customWidth="1"/>
    <col min="278" max="278" width="13.7109375" customWidth="1"/>
    <col min="282" max="282" width="13.5703125" customWidth="1"/>
    <col min="509" max="509" width="3.42578125" bestFit="1" customWidth="1"/>
    <col min="510" max="510" width="14.85546875" customWidth="1"/>
    <col min="513" max="513" width="13.28515625" customWidth="1"/>
    <col min="524" max="524" width="13.42578125" customWidth="1"/>
    <col min="525" max="525" width="13.140625" customWidth="1"/>
    <col min="526" max="526" width="14" customWidth="1"/>
    <col min="534" max="534" width="13.7109375" customWidth="1"/>
    <col min="538" max="538" width="13.5703125" customWidth="1"/>
    <col min="765" max="765" width="3.42578125" bestFit="1" customWidth="1"/>
    <col min="766" max="766" width="14.85546875" customWidth="1"/>
    <col min="769" max="769" width="13.28515625" customWidth="1"/>
    <col min="780" max="780" width="13.42578125" customWidth="1"/>
    <col min="781" max="781" width="13.140625" customWidth="1"/>
    <col min="782" max="782" width="14" customWidth="1"/>
    <col min="790" max="790" width="13.7109375" customWidth="1"/>
    <col min="794" max="794" width="13.5703125" customWidth="1"/>
    <col min="1021" max="1021" width="3.42578125" bestFit="1" customWidth="1"/>
    <col min="1022" max="1022" width="14.85546875" customWidth="1"/>
    <col min="1025" max="1025" width="13.28515625" customWidth="1"/>
    <col min="1036" max="1036" width="13.42578125" customWidth="1"/>
    <col min="1037" max="1037" width="13.140625" customWidth="1"/>
    <col min="1038" max="1038" width="14" customWidth="1"/>
    <col min="1046" max="1046" width="13.7109375" customWidth="1"/>
    <col min="1050" max="1050" width="13.5703125" customWidth="1"/>
    <col min="1277" max="1277" width="3.42578125" bestFit="1" customWidth="1"/>
    <col min="1278" max="1278" width="14.85546875" customWidth="1"/>
    <col min="1281" max="1281" width="13.28515625" customWidth="1"/>
    <col min="1292" max="1292" width="13.42578125" customWidth="1"/>
    <col min="1293" max="1293" width="13.140625" customWidth="1"/>
    <col min="1294" max="1294" width="14" customWidth="1"/>
    <col min="1302" max="1302" width="13.7109375" customWidth="1"/>
    <col min="1306" max="1306" width="13.5703125" customWidth="1"/>
    <col min="1533" max="1533" width="3.42578125" bestFit="1" customWidth="1"/>
    <col min="1534" max="1534" width="14.85546875" customWidth="1"/>
    <col min="1537" max="1537" width="13.28515625" customWidth="1"/>
    <col min="1548" max="1548" width="13.42578125" customWidth="1"/>
    <col min="1549" max="1549" width="13.140625" customWidth="1"/>
    <col min="1550" max="1550" width="14" customWidth="1"/>
    <col min="1558" max="1558" width="13.7109375" customWidth="1"/>
    <col min="1562" max="1562" width="13.5703125" customWidth="1"/>
    <col min="1789" max="1789" width="3.42578125" bestFit="1" customWidth="1"/>
    <col min="1790" max="1790" width="14.85546875" customWidth="1"/>
    <col min="1793" max="1793" width="13.28515625" customWidth="1"/>
    <col min="1804" max="1804" width="13.42578125" customWidth="1"/>
    <col min="1805" max="1805" width="13.140625" customWidth="1"/>
    <col min="1806" max="1806" width="14" customWidth="1"/>
    <col min="1814" max="1814" width="13.7109375" customWidth="1"/>
    <col min="1818" max="1818" width="13.5703125" customWidth="1"/>
    <col min="2045" max="2045" width="3.42578125" bestFit="1" customWidth="1"/>
    <col min="2046" max="2046" width="14.85546875" customWidth="1"/>
    <col min="2049" max="2049" width="13.28515625" customWidth="1"/>
    <col min="2060" max="2060" width="13.42578125" customWidth="1"/>
    <col min="2061" max="2061" width="13.140625" customWidth="1"/>
    <col min="2062" max="2062" width="14" customWidth="1"/>
    <col min="2070" max="2070" width="13.7109375" customWidth="1"/>
    <col min="2074" max="2074" width="13.5703125" customWidth="1"/>
    <col min="2301" max="2301" width="3.42578125" bestFit="1" customWidth="1"/>
    <col min="2302" max="2302" width="14.85546875" customWidth="1"/>
    <col min="2305" max="2305" width="13.28515625" customWidth="1"/>
    <col min="2316" max="2316" width="13.42578125" customWidth="1"/>
    <col min="2317" max="2317" width="13.140625" customWidth="1"/>
    <col min="2318" max="2318" width="14" customWidth="1"/>
    <col min="2326" max="2326" width="13.7109375" customWidth="1"/>
    <col min="2330" max="2330" width="13.5703125" customWidth="1"/>
    <col min="2557" max="2557" width="3.42578125" bestFit="1" customWidth="1"/>
    <col min="2558" max="2558" width="14.85546875" customWidth="1"/>
    <col min="2561" max="2561" width="13.28515625" customWidth="1"/>
    <col min="2572" max="2572" width="13.42578125" customWidth="1"/>
    <col min="2573" max="2573" width="13.140625" customWidth="1"/>
    <col min="2574" max="2574" width="14" customWidth="1"/>
    <col min="2582" max="2582" width="13.7109375" customWidth="1"/>
    <col min="2586" max="2586" width="13.5703125" customWidth="1"/>
    <col min="2813" max="2813" width="3.42578125" bestFit="1" customWidth="1"/>
    <col min="2814" max="2814" width="14.85546875" customWidth="1"/>
    <col min="2817" max="2817" width="13.28515625" customWidth="1"/>
    <col min="2828" max="2828" width="13.42578125" customWidth="1"/>
    <col min="2829" max="2829" width="13.140625" customWidth="1"/>
    <col min="2830" max="2830" width="14" customWidth="1"/>
    <col min="2838" max="2838" width="13.7109375" customWidth="1"/>
    <col min="2842" max="2842" width="13.5703125" customWidth="1"/>
    <col min="3069" max="3069" width="3.42578125" bestFit="1" customWidth="1"/>
    <col min="3070" max="3070" width="14.85546875" customWidth="1"/>
    <col min="3073" max="3073" width="13.28515625" customWidth="1"/>
    <col min="3084" max="3084" width="13.42578125" customWidth="1"/>
    <col min="3085" max="3085" width="13.140625" customWidth="1"/>
    <col min="3086" max="3086" width="14" customWidth="1"/>
    <col min="3094" max="3094" width="13.7109375" customWidth="1"/>
    <col min="3098" max="3098" width="13.5703125" customWidth="1"/>
    <col min="3325" max="3325" width="3.42578125" bestFit="1" customWidth="1"/>
    <col min="3326" max="3326" width="14.85546875" customWidth="1"/>
    <col min="3329" max="3329" width="13.28515625" customWidth="1"/>
    <col min="3340" max="3340" width="13.42578125" customWidth="1"/>
    <col min="3341" max="3341" width="13.140625" customWidth="1"/>
    <col min="3342" max="3342" width="14" customWidth="1"/>
    <col min="3350" max="3350" width="13.7109375" customWidth="1"/>
    <col min="3354" max="3354" width="13.5703125" customWidth="1"/>
    <col min="3581" max="3581" width="3.42578125" bestFit="1" customWidth="1"/>
    <col min="3582" max="3582" width="14.85546875" customWidth="1"/>
    <col min="3585" max="3585" width="13.28515625" customWidth="1"/>
    <col min="3596" max="3596" width="13.42578125" customWidth="1"/>
    <col min="3597" max="3597" width="13.140625" customWidth="1"/>
    <col min="3598" max="3598" width="14" customWidth="1"/>
    <col min="3606" max="3606" width="13.7109375" customWidth="1"/>
    <col min="3610" max="3610" width="13.5703125" customWidth="1"/>
    <col min="3837" max="3837" width="3.42578125" bestFit="1" customWidth="1"/>
    <col min="3838" max="3838" width="14.85546875" customWidth="1"/>
    <col min="3841" max="3841" width="13.28515625" customWidth="1"/>
    <col min="3852" max="3852" width="13.42578125" customWidth="1"/>
    <col min="3853" max="3853" width="13.140625" customWidth="1"/>
    <col min="3854" max="3854" width="14" customWidth="1"/>
    <col min="3862" max="3862" width="13.7109375" customWidth="1"/>
    <col min="3866" max="3866" width="13.5703125" customWidth="1"/>
    <col min="4093" max="4093" width="3.42578125" bestFit="1" customWidth="1"/>
    <col min="4094" max="4094" width="14.85546875" customWidth="1"/>
    <col min="4097" max="4097" width="13.28515625" customWidth="1"/>
    <col min="4108" max="4108" width="13.42578125" customWidth="1"/>
    <col min="4109" max="4109" width="13.140625" customWidth="1"/>
    <col min="4110" max="4110" width="14" customWidth="1"/>
    <col min="4118" max="4118" width="13.7109375" customWidth="1"/>
    <col min="4122" max="4122" width="13.5703125" customWidth="1"/>
    <col min="4349" max="4349" width="3.42578125" bestFit="1" customWidth="1"/>
    <col min="4350" max="4350" width="14.85546875" customWidth="1"/>
    <col min="4353" max="4353" width="13.28515625" customWidth="1"/>
    <col min="4364" max="4364" width="13.42578125" customWidth="1"/>
    <col min="4365" max="4365" width="13.140625" customWidth="1"/>
    <col min="4366" max="4366" width="14" customWidth="1"/>
    <col min="4374" max="4374" width="13.7109375" customWidth="1"/>
    <col min="4378" max="4378" width="13.5703125" customWidth="1"/>
    <col min="4605" max="4605" width="3.42578125" bestFit="1" customWidth="1"/>
    <col min="4606" max="4606" width="14.85546875" customWidth="1"/>
    <col min="4609" max="4609" width="13.28515625" customWidth="1"/>
    <col min="4620" max="4620" width="13.42578125" customWidth="1"/>
    <col min="4621" max="4621" width="13.140625" customWidth="1"/>
    <col min="4622" max="4622" width="14" customWidth="1"/>
    <col min="4630" max="4630" width="13.7109375" customWidth="1"/>
    <col min="4634" max="4634" width="13.5703125" customWidth="1"/>
    <col min="4861" max="4861" width="3.42578125" bestFit="1" customWidth="1"/>
    <col min="4862" max="4862" width="14.85546875" customWidth="1"/>
    <col min="4865" max="4865" width="13.28515625" customWidth="1"/>
    <col min="4876" max="4876" width="13.42578125" customWidth="1"/>
    <col min="4877" max="4877" width="13.140625" customWidth="1"/>
    <col min="4878" max="4878" width="14" customWidth="1"/>
    <col min="4886" max="4886" width="13.7109375" customWidth="1"/>
    <col min="4890" max="4890" width="13.5703125" customWidth="1"/>
    <col min="5117" max="5117" width="3.42578125" bestFit="1" customWidth="1"/>
    <col min="5118" max="5118" width="14.85546875" customWidth="1"/>
    <col min="5121" max="5121" width="13.28515625" customWidth="1"/>
    <col min="5132" max="5132" width="13.42578125" customWidth="1"/>
    <col min="5133" max="5133" width="13.140625" customWidth="1"/>
    <col min="5134" max="5134" width="14" customWidth="1"/>
    <col min="5142" max="5142" width="13.7109375" customWidth="1"/>
    <col min="5146" max="5146" width="13.5703125" customWidth="1"/>
    <col min="5373" max="5373" width="3.42578125" bestFit="1" customWidth="1"/>
    <col min="5374" max="5374" width="14.85546875" customWidth="1"/>
    <col min="5377" max="5377" width="13.28515625" customWidth="1"/>
    <col min="5388" max="5388" width="13.42578125" customWidth="1"/>
    <col min="5389" max="5389" width="13.140625" customWidth="1"/>
    <col min="5390" max="5390" width="14" customWidth="1"/>
    <col min="5398" max="5398" width="13.7109375" customWidth="1"/>
    <col min="5402" max="5402" width="13.5703125" customWidth="1"/>
    <col min="5629" max="5629" width="3.42578125" bestFit="1" customWidth="1"/>
    <col min="5630" max="5630" width="14.85546875" customWidth="1"/>
    <col min="5633" max="5633" width="13.28515625" customWidth="1"/>
    <col min="5644" max="5644" width="13.42578125" customWidth="1"/>
    <col min="5645" max="5645" width="13.140625" customWidth="1"/>
    <col min="5646" max="5646" width="14" customWidth="1"/>
    <col min="5654" max="5654" width="13.7109375" customWidth="1"/>
    <col min="5658" max="5658" width="13.5703125" customWidth="1"/>
    <col min="5885" max="5885" width="3.42578125" bestFit="1" customWidth="1"/>
    <col min="5886" max="5886" width="14.85546875" customWidth="1"/>
    <col min="5889" max="5889" width="13.28515625" customWidth="1"/>
    <col min="5900" max="5900" width="13.42578125" customWidth="1"/>
    <col min="5901" max="5901" width="13.140625" customWidth="1"/>
    <col min="5902" max="5902" width="14" customWidth="1"/>
    <col min="5910" max="5910" width="13.7109375" customWidth="1"/>
    <col min="5914" max="5914" width="13.5703125" customWidth="1"/>
    <col min="6141" max="6141" width="3.42578125" bestFit="1" customWidth="1"/>
    <col min="6142" max="6142" width="14.85546875" customWidth="1"/>
    <col min="6145" max="6145" width="13.28515625" customWidth="1"/>
    <col min="6156" max="6156" width="13.42578125" customWidth="1"/>
    <col min="6157" max="6157" width="13.140625" customWidth="1"/>
    <col min="6158" max="6158" width="14" customWidth="1"/>
    <col min="6166" max="6166" width="13.7109375" customWidth="1"/>
    <col min="6170" max="6170" width="13.5703125" customWidth="1"/>
    <col min="6397" max="6397" width="3.42578125" bestFit="1" customWidth="1"/>
    <col min="6398" max="6398" width="14.85546875" customWidth="1"/>
    <col min="6401" max="6401" width="13.28515625" customWidth="1"/>
    <col min="6412" max="6412" width="13.42578125" customWidth="1"/>
    <col min="6413" max="6413" width="13.140625" customWidth="1"/>
    <col min="6414" max="6414" width="14" customWidth="1"/>
    <col min="6422" max="6422" width="13.7109375" customWidth="1"/>
    <col min="6426" max="6426" width="13.5703125" customWidth="1"/>
    <col min="6653" max="6653" width="3.42578125" bestFit="1" customWidth="1"/>
    <col min="6654" max="6654" width="14.85546875" customWidth="1"/>
    <col min="6657" max="6657" width="13.28515625" customWidth="1"/>
    <col min="6668" max="6668" width="13.42578125" customWidth="1"/>
    <col min="6669" max="6669" width="13.140625" customWidth="1"/>
    <col min="6670" max="6670" width="14" customWidth="1"/>
    <col min="6678" max="6678" width="13.7109375" customWidth="1"/>
    <col min="6682" max="6682" width="13.5703125" customWidth="1"/>
    <col min="6909" max="6909" width="3.42578125" bestFit="1" customWidth="1"/>
    <col min="6910" max="6910" width="14.85546875" customWidth="1"/>
    <col min="6913" max="6913" width="13.28515625" customWidth="1"/>
    <col min="6924" max="6924" width="13.42578125" customWidth="1"/>
    <col min="6925" max="6925" width="13.140625" customWidth="1"/>
    <col min="6926" max="6926" width="14" customWidth="1"/>
    <col min="6934" max="6934" width="13.7109375" customWidth="1"/>
    <col min="6938" max="6938" width="13.5703125" customWidth="1"/>
    <col min="7165" max="7165" width="3.42578125" bestFit="1" customWidth="1"/>
    <col min="7166" max="7166" width="14.85546875" customWidth="1"/>
    <col min="7169" max="7169" width="13.28515625" customWidth="1"/>
    <col min="7180" max="7180" width="13.42578125" customWidth="1"/>
    <col min="7181" max="7181" width="13.140625" customWidth="1"/>
    <col min="7182" max="7182" width="14" customWidth="1"/>
    <col min="7190" max="7190" width="13.7109375" customWidth="1"/>
    <col min="7194" max="7194" width="13.5703125" customWidth="1"/>
    <col min="7421" max="7421" width="3.42578125" bestFit="1" customWidth="1"/>
    <col min="7422" max="7422" width="14.85546875" customWidth="1"/>
    <col min="7425" max="7425" width="13.28515625" customWidth="1"/>
    <col min="7436" max="7436" width="13.42578125" customWidth="1"/>
    <col min="7437" max="7437" width="13.140625" customWidth="1"/>
    <col min="7438" max="7438" width="14" customWidth="1"/>
    <col min="7446" max="7446" width="13.7109375" customWidth="1"/>
    <col min="7450" max="7450" width="13.5703125" customWidth="1"/>
    <col min="7677" max="7677" width="3.42578125" bestFit="1" customWidth="1"/>
    <col min="7678" max="7678" width="14.85546875" customWidth="1"/>
    <col min="7681" max="7681" width="13.28515625" customWidth="1"/>
    <col min="7692" max="7692" width="13.42578125" customWidth="1"/>
    <col min="7693" max="7693" width="13.140625" customWidth="1"/>
    <col min="7694" max="7694" width="14" customWidth="1"/>
    <col min="7702" max="7702" width="13.7109375" customWidth="1"/>
    <col min="7706" max="7706" width="13.5703125" customWidth="1"/>
    <col min="7933" max="7933" width="3.42578125" bestFit="1" customWidth="1"/>
    <col min="7934" max="7934" width="14.85546875" customWidth="1"/>
    <col min="7937" max="7937" width="13.28515625" customWidth="1"/>
    <col min="7948" max="7948" width="13.42578125" customWidth="1"/>
    <col min="7949" max="7949" width="13.140625" customWidth="1"/>
    <col min="7950" max="7950" width="14" customWidth="1"/>
    <col min="7958" max="7958" width="13.7109375" customWidth="1"/>
    <col min="7962" max="7962" width="13.5703125" customWidth="1"/>
    <col min="8189" max="8189" width="3.42578125" bestFit="1" customWidth="1"/>
    <col min="8190" max="8190" width="14.85546875" customWidth="1"/>
    <col min="8193" max="8193" width="13.28515625" customWidth="1"/>
    <col min="8204" max="8204" width="13.42578125" customWidth="1"/>
    <col min="8205" max="8205" width="13.140625" customWidth="1"/>
    <col min="8206" max="8206" width="14" customWidth="1"/>
    <col min="8214" max="8214" width="13.7109375" customWidth="1"/>
    <col min="8218" max="8218" width="13.5703125" customWidth="1"/>
    <col min="8445" max="8445" width="3.42578125" bestFit="1" customWidth="1"/>
    <col min="8446" max="8446" width="14.85546875" customWidth="1"/>
    <col min="8449" max="8449" width="13.28515625" customWidth="1"/>
    <col min="8460" max="8460" width="13.42578125" customWidth="1"/>
    <col min="8461" max="8461" width="13.140625" customWidth="1"/>
    <col min="8462" max="8462" width="14" customWidth="1"/>
    <col min="8470" max="8470" width="13.7109375" customWidth="1"/>
    <col min="8474" max="8474" width="13.5703125" customWidth="1"/>
    <col min="8701" max="8701" width="3.42578125" bestFit="1" customWidth="1"/>
    <col min="8702" max="8702" width="14.85546875" customWidth="1"/>
    <col min="8705" max="8705" width="13.28515625" customWidth="1"/>
    <col min="8716" max="8716" width="13.42578125" customWidth="1"/>
    <col min="8717" max="8717" width="13.140625" customWidth="1"/>
    <col min="8718" max="8718" width="14" customWidth="1"/>
    <col min="8726" max="8726" width="13.7109375" customWidth="1"/>
    <col min="8730" max="8730" width="13.5703125" customWidth="1"/>
    <col min="8957" max="8957" width="3.42578125" bestFit="1" customWidth="1"/>
    <col min="8958" max="8958" width="14.85546875" customWidth="1"/>
    <col min="8961" max="8961" width="13.28515625" customWidth="1"/>
    <col min="8972" max="8972" width="13.42578125" customWidth="1"/>
    <col min="8973" max="8973" width="13.140625" customWidth="1"/>
    <col min="8974" max="8974" width="14" customWidth="1"/>
    <col min="8982" max="8982" width="13.7109375" customWidth="1"/>
    <col min="8986" max="8986" width="13.5703125" customWidth="1"/>
    <col min="9213" max="9213" width="3.42578125" bestFit="1" customWidth="1"/>
    <col min="9214" max="9214" width="14.85546875" customWidth="1"/>
    <col min="9217" max="9217" width="13.28515625" customWidth="1"/>
    <col min="9228" max="9228" width="13.42578125" customWidth="1"/>
    <col min="9229" max="9229" width="13.140625" customWidth="1"/>
    <col min="9230" max="9230" width="14" customWidth="1"/>
    <col min="9238" max="9238" width="13.7109375" customWidth="1"/>
    <col min="9242" max="9242" width="13.5703125" customWidth="1"/>
    <col min="9469" max="9469" width="3.42578125" bestFit="1" customWidth="1"/>
    <col min="9470" max="9470" width="14.85546875" customWidth="1"/>
    <col min="9473" max="9473" width="13.28515625" customWidth="1"/>
    <col min="9484" max="9484" width="13.42578125" customWidth="1"/>
    <col min="9485" max="9485" width="13.140625" customWidth="1"/>
    <col min="9486" max="9486" width="14" customWidth="1"/>
    <col min="9494" max="9494" width="13.7109375" customWidth="1"/>
    <col min="9498" max="9498" width="13.5703125" customWidth="1"/>
    <col min="9725" max="9725" width="3.42578125" bestFit="1" customWidth="1"/>
    <col min="9726" max="9726" width="14.85546875" customWidth="1"/>
    <col min="9729" max="9729" width="13.28515625" customWidth="1"/>
    <col min="9740" max="9740" width="13.42578125" customWidth="1"/>
    <col min="9741" max="9741" width="13.140625" customWidth="1"/>
    <col min="9742" max="9742" width="14" customWidth="1"/>
    <col min="9750" max="9750" width="13.7109375" customWidth="1"/>
    <col min="9754" max="9754" width="13.5703125" customWidth="1"/>
    <col min="9981" max="9981" width="3.42578125" bestFit="1" customWidth="1"/>
    <col min="9982" max="9982" width="14.85546875" customWidth="1"/>
    <col min="9985" max="9985" width="13.28515625" customWidth="1"/>
    <col min="9996" max="9996" width="13.42578125" customWidth="1"/>
    <col min="9997" max="9997" width="13.140625" customWidth="1"/>
    <col min="9998" max="9998" width="14" customWidth="1"/>
    <col min="10006" max="10006" width="13.7109375" customWidth="1"/>
    <col min="10010" max="10010" width="13.5703125" customWidth="1"/>
    <col min="10237" max="10237" width="3.42578125" bestFit="1" customWidth="1"/>
    <col min="10238" max="10238" width="14.85546875" customWidth="1"/>
    <col min="10241" max="10241" width="13.28515625" customWidth="1"/>
    <col min="10252" max="10252" width="13.42578125" customWidth="1"/>
    <col min="10253" max="10253" width="13.140625" customWidth="1"/>
    <col min="10254" max="10254" width="14" customWidth="1"/>
    <col min="10262" max="10262" width="13.7109375" customWidth="1"/>
    <col min="10266" max="10266" width="13.5703125" customWidth="1"/>
    <col min="10493" max="10493" width="3.42578125" bestFit="1" customWidth="1"/>
    <col min="10494" max="10494" width="14.85546875" customWidth="1"/>
    <col min="10497" max="10497" width="13.28515625" customWidth="1"/>
    <col min="10508" max="10508" width="13.42578125" customWidth="1"/>
    <col min="10509" max="10509" width="13.140625" customWidth="1"/>
    <col min="10510" max="10510" width="14" customWidth="1"/>
    <col min="10518" max="10518" width="13.7109375" customWidth="1"/>
    <col min="10522" max="10522" width="13.5703125" customWidth="1"/>
    <col min="10749" max="10749" width="3.42578125" bestFit="1" customWidth="1"/>
    <col min="10750" max="10750" width="14.85546875" customWidth="1"/>
    <col min="10753" max="10753" width="13.28515625" customWidth="1"/>
    <col min="10764" max="10764" width="13.42578125" customWidth="1"/>
    <col min="10765" max="10765" width="13.140625" customWidth="1"/>
    <col min="10766" max="10766" width="14" customWidth="1"/>
    <col min="10774" max="10774" width="13.7109375" customWidth="1"/>
    <col min="10778" max="10778" width="13.5703125" customWidth="1"/>
    <col min="11005" max="11005" width="3.42578125" bestFit="1" customWidth="1"/>
    <col min="11006" max="11006" width="14.85546875" customWidth="1"/>
    <col min="11009" max="11009" width="13.28515625" customWidth="1"/>
    <col min="11020" max="11020" width="13.42578125" customWidth="1"/>
    <col min="11021" max="11021" width="13.140625" customWidth="1"/>
    <col min="11022" max="11022" width="14" customWidth="1"/>
    <col min="11030" max="11030" width="13.7109375" customWidth="1"/>
    <col min="11034" max="11034" width="13.5703125" customWidth="1"/>
    <col min="11261" max="11261" width="3.42578125" bestFit="1" customWidth="1"/>
    <col min="11262" max="11262" width="14.85546875" customWidth="1"/>
    <col min="11265" max="11265" width="13.28515625" customWidth="1"/>
    <col min="11276" max="11276" width="13.42578125" customWidth="1"/>
    <col min="11277" max="11277" width="13.140625" customWidth="1"/>
    <col min="11278" max="11278" width="14" customWidth="1"/>
    <col min="11286" max="11286" width="13.7109375" customWidth="1"/>
    <col min="11290" max="11290" width="13.5703125" customWidth="1"/>
    <col min="11517" max="11517" width="3.42578125" bestFit="1" customWidth="1"/>
    <col min="11518" max="11518" width="14.85546875" customWidth="1"/>
    <col min="11521" max="11521" width="13.28515625" customWidth="1"/>
    <col min="11532" max="11532" width="13.42578125" customWidth="1"/>
    <col min="11533" max="11533" width="13.140625" customWidth="1"/>
    <col min="11534" max="11534" width="14" customWidth="1"/>
    <col min="11542" max="11542" width="13.7109375" customWidth="1"/>
    <col min="11546" max="11546" width="13.5703125" customWidth="1"/>
    <col min="11773" max="11773" width="3.42578125" bestFit="1" customWidth="1"/>
    <col min="11774" max="11774" width="14.85546875" customWidth="1"/>
    <col min="11777" max="11777" width="13.28515625" customWidth="1"/>
    <col min="11788" max="11788" width="13.42578125" customWidth="1"/>
    <col min="11789" max="11789" width="13.140625" customWidth="1"/>
    <col min="11790" max="11790" width="14" customWidth="1"/>
    <col min="11798" max="11798" width="13.7109375" customWidth="1"/>
    <col min="11802" max="11802" width="13.5703125" customWidth="1"/>
    <col min="12029" max="12029" width="3.42578125" bestFit="1" customWidth="1"/>
    <col min="12030" max="12030" width="14.85546875" customWidth="1"/>
    <col min="12033" max="12033" width="13.28515625" customWidth="1"/>
    <col min="12044" max="12044" width="13.42578125" customWidth="1"/>
    <col min="12045" max="12045" width="13.140625" customWidth="1"/>
    <col min="12046" max="12046" width="14" customWidth="1"/>
    <col min="12054" max="12054" width="13.7109375" customWidth="1"/>
    <col min="12058" max="12058" width="13.5703125" customWidth="1"/>
    <col min="12285" max="12285" width="3.42578125" bestFit="1" customWidth="1"/>
    <col min="12286" max="12286" width="14.85546875" customWidth="1"/>
    <col min="12289" max="12289" width="13.28515625" customWidth="1"/>
    <col min="12300" max="12300" width="13.42578125" customWidth="1"/>
    <col min="12301" max="12301" width="13.140625" customWidth="1"/>
    <col min="12302" max="12302" width="14" customWidth="1"/>
    <col min="12310" max="12310" width="13.7109375" customWidth="1"/>
    <col min="12314" max="12314" width="13.5703125" customWidth="1"/>
    <col min="12541" max="12541" width="3.42578125" bestFit="1" customWidth="1"/>
    <col min="12542" max="12542" width="14.85546875" customWidth="1"/>
    <col min="12545" max="12545" width="13.28515625" customWidth="1"/>
    <col min="12556" max="12556" width="13.42578125" customWidth="1"/>
    <col min="12557" max="12557" width="13.140625" customWidth="1"/>
    <col min="12558" max="12558" width="14" customWidth="1"/>
    <col min="12566" max="12566" width="13.7109375" customWidth="1"/>
    <col min="12570" max="12570" width="13.5703125" customWidth="1"/>
    <col min="12797" max="12797" width="3.42578125" bestFit="1" customWidth="1"/>
    <col min="12798" max="12798" width="14.85546875" customWidth="1"/>
    <col min="12801" max="12801" width="13.28515625" customWidth="1"/>
    <col min="12812" max="12812" width="13.42578125" customWidth="1"/>
    <col min="12813" max="12813" width="13.140625" customWidth="1"/>
    <col min="12814" max="12814" width="14" customWidth="1"/>
    <col min="12822" max="12822" width="13.7109375" customWidth="1"/>
    <col min="12826" max="12826" width="13.5703125" customWidth="1"/>
    <col min="13053" max="13053" width="3.42578125" bestFit="1" customWidth="1"/>
    <col min="13054" max="13054" width="14.85546875" customWidth="1"/>
    <col min="13057" max="13057" width="13.28515625" customWidth="1"/>
    <col min="13068" max="13068" width="13.42578125" customWidth="1"/>
    <col min="13069" max="13069" width="13.140625" customWidth="1"/>
    <col min="13070" max="13070" width="14" customWidth="1"/>
    <col min="13078" max="13078" width="13.7109375" customWidth="1"/>
    <col min="13082" max="13082" width="13.5703125" customWidth="1"/>
    <col min="13309" max="13309" width="3.42578125" bestFit="1" customWidth="1"/>
    <col min="13310" max="13310" width="14.85546875" customWidth="1"/>
    <col min="13313" max="13313" width="13.28515625" customWidth="1"/>
    <col min="13324" max="13324" width="13.42578125" customWidth="1"/>
    <col min="13325" max="13325" width="13.140625" customWidth="1"/>
    <col min="13326" max="13326" width="14" customWidth="1"/>
    <col min="13334" max="13334" width="13.7109375" customWidth="1"/>
    <col min="13338" max="13338" width="13.5703125" customWidth="1"/>
    <col min="13565" max="13565" width="3.42578125" bestFit="1" customWidth="1"/>
    <col min="13566" max="13566" width="14.85546875" customWidth="1"/>
    <col min="13569" max="13569" width="13.28515625" customWidth="1"/>
    <col min="13580" max="13580" width="13.42578125" customWidth="1"/>
    <col min="13581" max="13581" width="13.140625" customWidth="1"/>
    <col min="13582" max="13582" width="14" customWidth="1"/>
    <col min="13590" max="13590" width="13.7109375" customWidth="1"/>
    <col min="13594" max="13594" width="13.5703125" customWidth="1"/>
    <col min="13821" max="13821" width="3.42578125" bestFit="1" customWidth="1"/>
    <col min="13822" max="13822" width="14.85546875" customWidth="1"/>
    <col min="13825" max="13825" width="13.28515625" customWidth="1"/>
    <col min="13836" max="13836" width="13.42578125" customWidth="1"/>
    <col min="13837" max="13837" width="13.140625" customWidth="1"/>
    <col min="13838" max="13838" width="14" customWidth="1"/>
    <col min="13846" max="13846" width="13.7109375" customWidth="1"/>
    <col min="13850" max="13850" width="13.5703125" customWidth="1"/>
    <col min="14077" max="14077" width="3.42578125" bestFit="1" customWidth="1"/>
    <col min="14078" max="14078" width="14.85546875" customWidth="1"/>
    <col min="14081" max="14081" width="13.28515625" customWidth="1"/>
    <col min="14092" max="14092" width="13.42578125" customWidth="1"/>
    <col min="14093" max="14093" width="13.140625" customWidth="1"/>
    <col min="14094" max="14094" width="14" customWidth="1"/>
    <col min="14102" max="14102" width="13.7109375" customWidth="1"/>
    <col min="14106" max="14106" width="13.5703125" customWidth="1"/>
    <col min="14333" max="14333" width="3.42578125" bestFit="1" customWidth="1"/>
    <col min="14334" max="14334" width="14.85546875" customWidth="1"/>
    <col min="14337" max="14337" width="13.28515625" customWidth="1"/>
    <col min="14348" max="14348" width="13.42578125" customWidth="1"/>
    <col min="14349" max="14349" width="13.140625" customWidth="1"/>
    <col min="14350" max="14350" width="14" customWidth="1"/>
    <col min="14358" max="14358" width="13.7109375" customWidth="1"/>
    <col min="14362" max="14362" width="13.5703125" customWidth="1"/>
    <col min="14589" max="14589" width="3.42578125" bestFit="1" customWidth="1"/>
    <col min="14590" max="14590" width="14.85546875" customWidth="1"/>
    <col min="14593" max="14593" width="13.28515625" customWidth="1"/>
    <col min="14604" max="14604" width="13.42578125" customWidth="1"/>
    <col min="14605" max="14605" width="13.140625" customWidth="1"/>
    <col min="14606" max="14606" width="14" customWidth="1"/>
    <col min="14614" max="14614" width="13.7109375" customWidth="1"/>
    <col min="14618" max="14618" width="13.5703125" customWidth="1"/>
    <col min="14845" max="14845" width="3.42578125" bestFit="1" customWidth="1"/>
    <col min="14846" max="14846" width="14.85546875" customWidth="1"/>
    <col min="14849" max="14849" width="13.28515625" customWidth="1"/>
    <col min="14860" max="14860" width="13.42578125" customWidth="1"/>
    <col min="14861" max="14861" width="13.140625" customWidth="1"/>
    <col min="14862" max="14862" width="14" customWidth="1"/>
    <col min="14870" max="14870" width="13.7109375" customWidth="1"/>
    <col min="14874" max="14874" width="13.5703125" customWidth="1"/>
    <col min="15101" max="15101" width="3.42578125" bestFit="1" customWidth="1"/>
    <col min="15102" max="15102" width="14.85546875" customWidth="1"/>
    <col min="15105" max="15105" width="13.28515625" customWidth="1"/>
    <col min="15116" max="15116" width="13.42578125" customWidth="1"/>
    <col min="15117" max="15117" width="13.140625" customWidth="1"/>
    <col min="15118" max="15118" width="14" customWidth="1"/>
    <col min="15126" max="15126" width="13.7109375" customWidth="1"/>
    <col min="15130" max="15130" width="13.5703125" customWidth="1"/>
    <col min="15357" max="15357" width="3.42578125" bestFit="1" customWidth="1"/>
    <col min="15358" max="15358" width="14.85546875" customWidth="1"/>
    <col min="15361" max="15361" width="13.28515625" customWidth="1"/>
    <col min="15372" max="15372" width="13.42578125" customWidth="1"/>
    <col min="15373" max="15373" width="13.140625" customWidth="1"/>
    <col min="15374" max="15374" width="14" customWidth="1"/>
    <col min="15382" max="15382" width="13.7109375" customWidth="1"/>
    <col min="15386" max="15386" width="13.5703125" customWidth="1"/>
    <col min="15613" max="15613" width="3.42578125" bestFit="1" customWidth="1"/>
    <col min="15614" max="15614" width="14.85546875" customWidth="1"/>
    <col min="15617" max="15617" width="13.28515625" customWidth="1"/>
    <col min="15628" max="15628" width="13.42578125" customWidth="1"/>
    <col min="15629" max="15629" width="13.140625" customWidth="1"/>
    <col min="15630" max="15630" width="14" customWidth="1"/>
    <col min="15638" max="15638" width="13.7109375" customWidth="1"/>
    <col min="15642" max="15642" width="13.5703125" customWidth="1"/>
    <col min="15869" max="15869" width="3.42578125" bestFit="1" customWidth="1"/>
    <col min="15870" max="15870" width="14.85546875" customWidth="1"/>
    <col min="15873" max="15873" width="13.28515625" customWidth="1"/>
    <col min="15884" max="15884" width="13.42578125" customWidth="1"/>
    <col min="15885" max="15885" width="13.140625" customWidth="1"/>
    <col min="15886" max="15886" width="14" customWidth="1"/>
    <col min="15894" max="15894" width="13.7109375" customWidth="1"/>
    <col min="15898" max="15898" width="13.5703125" customWidth="1"/>
    <col min="16125" max="16125" width="3.42578125" bestFit="1" customWidth="1"/>
    <col min="16126" max="16126" width="14.85546875" customWidth="1"/>
    <col min="16129" max="16129" width="13.28515625" customWidth="1"/>
    <col min="16140" max="16140" width="13.42578125" customWidth="1"/>
    <col min="16141" max="16141" width="13.140625" customWidth="1"/>
    <col min="16142" max="16142" width="14" customWidth="1"/>
    <col min="16150" max="16150" width="13.7109375" customWidth="1"/>
    <col min="16154" max="16154" width="13.5703125" customWidth="1"/>
  </cols>
  <sheetData>
    <row r="1" spans="1:32" ht="15.75" x14ac:dyDescent="0.25">
      <c r="C1" s="1" t="s">
        <v>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3" spans="1:32" s="2" customFormat="1" ht="25.5" x14ac:dyDescent="0.2">
      <c r="C3" s="3" t="s">
        <v>1</v>
      </c>
      <c r="D3" s="4"/>
      <c r="E3" s="5"/>
      <c r="F3" s="6" t="s">
        <v>2</v>
      </c>
      <c r="G3" s="7"/>
      <c r="H3" s="7"/>
      <c r="I3" s="7"/>
      <c r="J3" s="8"/>
      <c r="K3" s="6" t="s">
        <v>3</v>
      </c>
      <c r="L3" s="7"/>
      <c r="M3" s="7"/>
      <c r="N3" s="7"/>
      <c r="O3" s="8"/>
      <c r="P3" s="6" t="s">
        <v>4</v>
      </c>
      <c r="Q3" s="7"/>
      <c r="R3" s="7"/>
      <c r="S3" s="7"/>
      <c r="T3" s="8"/>
      <c r="U3" s="3" t="s">
        <v>5</v>
      </c>
      <c r="V3" s="5"/>
      <c r="W3" s="9" t="s">
        <v>6</v>
      </c>
      <c r="X3" s="3" t="s">
        <v>7</v>
      </c>
      <c r="Y3" s="4"/>
      <c r="Z3" s="4"/>
      <c r="AA3" s="5"/>
      <c r="AB3" s="10" t="s">
        <v>8</v>
      </c>
      <c r="AC3" s="11" t="s">
        <v>9</v>
      </c>
    </row>
    <row r="4" spans="1:32" s="2" customFormat="1" ht="60" customHeight="1" x14ac:dyDescent="0.2">
      <c r="A4" s="12" t="s">
        <v>10</v>
      </c>
      <c r="B4" s="13" t="s">
        <v>11</v>
      </c>
      <c r="C4" s="12" t="s">
        <v>12</v>
      </c>
      <c r="D4" s="12" t="s">
        <v>13</v>
      </c>
      <c r="E4" s="14" t="s">
        <v>14</v>
      </c>
      <c r="F4" s="12" t="s">
        <v>15</v>
      </c>
      <c r="G4" s="12" t="s">
        <v>16</v>
      </c>
      <c r="H4" s="12" t="s">
        <v>17</v>
      </c>
      <c r="I4" s="12" t="s">
        <v>18</v>
      </c>
      <c r="J4" s="15" t="s">
        <v>19</v>
      </c>
      <c r="K4" s="12" t="s">
        <v>15</v>
      </c>
      <c r="L4" s="12" t="s">
        <v>16</v>
      </c>
      <c r="M4" s="12" t="s">
        <v>20</v>
      </c>
      <c r="N4" s="12" t="s">
        <v>18</v>
      </c>
      <c r="O4" s="15" t="s">
        <v>21</v>
      </c>
      <c r="P4" s="12" t="s">
        <v>15</v>
      </c>
      <c r="Q4" s="12" t="s">
        <v>16</v>
      </c>
      <c r="R4" s="12" t="s">
        <v>22</v>
      </c>
      <c r="S4" s="12" t="s">
        <v>18</v>
      </c>
      <c r="T4" s="15" t="s">
        <v>23</v>
      </c>
      <c r="U4" s="9" t="s">
        <v>24</v>
      </c>
      <c r="V4" s="9" t="s">
        <v>25</v>
      </c>
      <c r="W4" s="16" t="s">
        <v>26</v>
      </c>
      <c r="X4" s="17" t="s">
        <v>27</v>
      </c>
      <c r="Y4" s="12" t="s">
        <v>28</v>
      </c>
      <c r="Z4" s="12" t="s">
        <v>29</v>
      </c>
      <c r="AA4" s="18" t="s">
        <v>30</v>
      </c>
      <c r="AB4" s="18" t="s">
        <v>31</v>
      </c>
      <c r="AC4" s="19"/>
    </row>
    <row r="5" spans="1:32" s="2" customFormat="1" ht="16.149999999999999" customHeight="1" x14ac:dyDescent="0.2">
      <c r="A5" s="20">
        <v>1</v>
      </c>
      <c r="B5" s="21" t="s">
        <v>32</v>
      </c>
      <c r="C5" s="22">
        <v>6550</v>
      </c>
      <c r="D5" s="23">
        <f t="shared" ref="D5:D68" si="0">C5/$C$112</f>
        <v>2.8221834824279225E-3</v>
      </c>
      <c r="E5" s="24">
        <f t="shared" ref="E5:E68" si="1">D5*0.64</f>
        <v>1.8061974287538704E-3</v>
      </c>
      <c r="F5" s="25">
        <v>0</v>
      </c>
      <c r="G5" s="25">
        <v>0</v>
      </c>
      <c r="H5" s="25">
        <f t="shared" ref="H5:H68" si="2">F5+G5</f>
        <v>0</v>
      </c>
      <c r="I5" s="26">
        <f>H5/$H$112</f>
        <v>0</v>
      </c>
      <c r="J5" s="26">
        <f t="shared" ref="J5:J68" si="3">I5*0.33</f>
        <v>0</v>
      </c>
      <c r="K5" s="27">
        <v>25055.29</v>
      </c>
      <c r="L5" s="27">
        <v>50000</v>
      </c>
      <c r="M5" s="25">
        <f t="shared" ref="M5:M68" si="4">K5+L5</f>
        <v>75055.290000000008</v>
      </c>
      <c r="N5" s="28">
        <f>M5/$M$112</f>
        <v>7.1674809516137831E-5</v>
      </c>
      <c r="O5" s="29">
        <f>N5*0.33</f>
        <v>2.3652687140325484E-5</v>
      </c>
      <c r="P5" s="27">
        <v>0</v>
      </c>
      <c r="Q5" s="27">
        <v>0</v>
      </c>
      <c r="R5" s="25">
        <f t="shared" ref="R5:R68" si="5">P5+Q5</f>
        <v>0</v>
      </c>
      <c r="S5" s="30">
        <f t="shared" ref="S5:S68" si="6">R5/$R$112</f>
        <v>0</v>
      </c>
      <c r="T5" s="30">
        <f t="shared" ref="T5:T68" si="7">S5*0.34</f>
        <v>0</v>
      </c>
      <c r="U5" s="30">
        <f>J5+O5+T5</f>
        <v>2.3652687140325484E-5</v>
      </c>
      <c r="V5" s="31">
        <f t="shared" ref="V5:V68" si="8">U5*0.045</f>
        <v>1.0643709213146467E-6</v>
      </c>
      <c r="W5" s="30">
        <f>S5*0.02</f>
        <v>0</v>
      </c>
      <c r="X5" s="31">
        <v>52.064402972226397</v>
      </c>
      <c r="Y5" s="32">
        <f>C5*(9.261-0.1456*X5)</f>
        <v>11006.770173447123</v>
      </c>
      <c r="Z5" s="33">
        <f>Y5/$Y$112</f>
        <v>4.7665005926614346E-3</v>
      </c>
      <c r="AA5" s="33">
        <f>Z5*0.025</f>
        <v>1.1916251481653587E-4</v>
      </c>
      <c r="AB5" s="33">
        <f>0.27/106</f>
        <v>2.5471698113207547E-3</v>
      </c>
      <c r="AC5" s="34">
        <f t="shared" ref="AC5:AC68" si="9">E5+V5+W5+AA5+AB5</f>
        <v>4.4735941258124759E-3</v>
      </c>
      <c r="AD5" s="35">
        <v>4.4735941258124759E-3</v>
      </c>
      <c r="AE5" s="36">
        <f>AD5-AC5</f>
        <v>0</v>
      </c>
      <c r="AF5" s="37"/>
    </row>
    <row r="6" spans="1:32" s="2" customFormat="1" ht="16.149999999999999" customHeight="1" x14ac:dyDescent="0.2">
      <c r="A6" s="20">
        <v>2</v>
      </c>
      <c r="B6" s="21" t="s">
        <v>33</v>
      </c>
      <c r="C6" s="22">
        <v>16772</v>
      </c>
      <c r="D6" s="24">
        <f t="shared" si="0"/>
        <v>7.2265131858444444E-3</v>
      </c>
      <c r="E6" s="24">
        <f t="shared" si="1"/>
        <v>4.6249684389404449E-3</v>
      </c>
      <c r="F6" s="25">
        <v>31181</v>
      </c>
      <c r="G6" s="25">
        <v>105808.5</v>
      </c>
      <c r="H6" s="25">
        <f>F6+G6</f>
        <v>136989.5</v>
      </c>
      <c r="I6" s="26">
        <f>H6/$H$112</f>
        <v>1.2700822601900848E-4</v>
      </c>
      <c r="J6" s="26">
        <f>I6*0.33</f>
        <v>4.1912714586272798E-5</v>
      </c>
      <c r="K6" s="27">
        <v>23043</v>
      </c>
      <c r="L6" s="27">
        <v>25600</v>
      </c>
      <c r="M6" s="25">
        <f>K6+L6</f>
        <v>48643</v>
      </c>
      <c r="N6" s="28">
        <f>M6/$M$112</f>
        <v>4.6452125616908445E-5</v>
      </c>
      <c r="O6" s="29">
        <f t="shared" ref="O6:O69" si="10">N6*0.33</f>
        <v>1.5329201453579789E-5</v>
      </c>
      <c r="P6" s="27">
        <v>49449</v>
      </c>
      <c r="Q6" s="27">
        <v>46723</v>
      </c>
      <c r="R6" s="25">
        <f t="shared" si="5"/>
        <v>96172</v>
      </c>
      <c r="S6" s="30">
        <f>R6/$R$112</f>
        <v>7.6828040115245209E-5</v>
      </c>
      <c r="T6" s="30">
        <f>S6*0.34</f>
        <v>2.6121533639183372E-5</v>
      </c>
      <c r="U6" s="30">
        <f t="shared" ref="U6:U69" si="11">J6+O6+T6</f>
        <v>8.3363449679035959E-5</v>
      </c>
      <c r="V6" s="31">
        <f t="shared" si="8"/>
        <v>3.7513552355566181E-6</v>
      </c>
      <c r="W6" s="30">
        <f t="shared" ref="W6:W69" si="12">S6*0.02</f>
        <v>1.5365608023049043E-6</v>
      </c>
      <c r="X6" s="31">
        <v>55.083317191262999</v>
      </c>
      <c r="Y6" s="32">
        <f t="shared" ref="Y6:Y69" si="13">C6*(9.261-0.1456*X6)</f>
        <v>20811.855152320713</v>
      </c>
      <c r="Z6" s="33">
        <f t="shared" ref="Z6:Z69" si="14">Y6/$Y$112</f>
        <v>9.0126093626658361E-3</v>
      </c>
      <c r="AA6" s="33">
        <f t="shared" ref="AA6:AA69" si="15">Z6*0.025</f>
        <v>2.2531523406664591E-4</v>
      </c>
      <c r="AB6" s="33">
        <f t="shared" ref="AB6:AB69" si="16">0.27/106</f>
        <v>2.5471698113207547E-3</v>
      </c>
      <c r="AC6" s="34">
        <f t="shared" si="9"/>
        <v>7.4027414003657067E-3</v>
      </c>
      <c r="AD6" s="35">
        <v>7.4027414003657067E-3</v>
      </c>
      <c r="AE6" s="36">
        <f t="shared" ref="AE6:AE69" si="17">AD6-AC6</f>
        <v>0</v>
      </c>
    </row>
    <row r="7" spans="1:32" s="2" customFormat="1" ht="16.149999999999999" customHeight="1" x14ac:dyDescent="0.2">
      <c r="A7" s="20">
        <v>3</v>
      </c>
      <c r="B7" s="21" t="s">
        <v>34</v>
      </c>
      <c r="C7" s="22">
        <v>12285</v>
      </c>
      <c r="D7" s="24">
        <f t="shared" si="0"/>
        <v>5.293209783454508E-3</v>
      </c>
      <c r="E7" s="24">
        <f t="shared" si="1"/>
        <v>3.3876542614108851E-3</v>
      </c>
      <c r="F7" s="25">
        <v>104252.65</v>
      </c>
      <c r="G7" s="25">
        <v>196917.5</v>
      </c>
      <c r="H7" s="25">
        <f t="shared" si="2"/>
        <v>301170.15000000002</v>
      </c>
      <c r="I7" s="26">
        <f t="shared" ref="I7:I70" si="18">H7/$H$112</f>
        <v>2.7922641137735876E-4</v>
      </c>
      <c r="J7" s="26">
        <f t="shared" si="3"/>
        <v>9.2144715754528391E-5</v>
      </c>
      <c r="K7" s="27">
        <v>67378.81</v>
      </c>
      <c r="L7" s="27">
        <v>37410</v>
      </c>
      <c r="M7" s="25">
        <f t="shared" si="4"/>
        <v>104788.81</v>
      </c>
      <c r="N7" s="28">
        <f t="shared" ref="N7:N70" si="19">M7/$M$112</f>
        <v>1.0006913564883645E-4</v>
      </c>
      <c r="O7" s="29">
        <f t="shared" si="10"/>
        <v>3.3022814764116028E-5</v>
      </c>
      <c r="P7" s="27">
        <v>98578.51</v>
      </c>
      <c r="Q7" s="27">
        <v>234962.51</v>
      </c>
      <c r="R7" s="25">
        <f t="shared" si="5"/>
        <v>333541.02</v>
      </c>
      <c r="S7" s="30">
        <f t="shared" si="6"/>
        <v>2.6645284349540203E-4</v>
      </c>
      <c r="T7" s="30">
        <f t="shared" si="7"/>
        <v>9.0593966788436693E-5</v>
      </c>
      <c r="U7" s="30">
        <f t="shared" si="11"/>
        <v>2.1576149730708112E-4</v>
      </c>
      <c r="V7" s="31">
        <f t="shared" si="8"/>
        <v>9.7092673788186501E-6</v>
      </c>
      <c r="W7" s="30">
        <f t="shared" si="12"/>
        <v>5.329056869908041E-6</v>
      </c>
      <c r="X7" s="31">
        <v>53.822860644154098</v>
      </c>
      <c r="Y7" s="32">
        <f t="shared" si="13"/>
        <v>17498.64945724413</v>
      </c>
      <c r="Z7" s="33">
        <f t="shared" si="14"/>
        <v>7.5778199866425632E-3</v>
      </c>
      <c r="AA7" s="33">
        <f t="shared" si="15"/>
        <v>1.8944549966606409E-4</v>
      </c>
      <c r="AB7" s="33">
        <f t="shared" si="16"/>
        <v>2.5471698113207547E-3</v>
      </c>
      <c r="AC7" s="38">
        <f t="shared" si="9"/>
        <v>6.1393078966464308E-3</v>
      </c>
      <c r="AD7" s="35">
        <v>6.1393078966464308E-3</v>
      </c>
      <c r="AE7" s="36">
        <f t="shared" si="17"/>
        <v>0</v>
      </c>
    </row>
    <row r="8" spans="1:32" s="2" customFormat="1" ht="16.149999999999999" customHeight="1" x14ac:dyDescent="0.2">
      <c r="A8" s="20">
        <v>4</v>
      </c>
      <c r="B8" s="39" t="s">
        <v>35</v>
      </c>
      <c r="C8" s="22">
        <v>6195</v>
      </c>
      <c r="D8" s="24">
        <f t="shared" si="0"/>
        <v>2.6692254463574015E-3</v>
      </c>
      <c r="E8" s="24">
        <f t="shared" si="1"/>
        <v>1.708304285668737E-3</v>
      </c>
      <c r="F8" s="25">
        <v>458379</v>
      </c>
      <c r="G8" s="25">
        <v>3400</v>
      </c>
      <c r="H8" s="25">
        <f t="shared" si="2"/>
        <v>461779</v>
      </c>
      <c r="I8" s="26">
        <f t="shared" si="18"/>
        <v>4.2813304379409891E-4</v>
      </c>
      <c r="J8" s="26">
        <f t="shared" si="3"/>
        <v>1.4128390445205264E-4</v>
      </c>
      <c r="K8" s="27">
        <v>195541</v>
      </c>
      <c r="L8" s="27">
        <v>6000</v>
      </c>
      <c r="M8" s="25">
        <f t="shared" si="4"/>
        <v>201541</v>
      </c>
      <c r="N8" s="28">
        <f t="shared" si="19"/>
        <v>1.9246361961551187E-4</v>
      </c>
      <c r="O8" s="29">
        <f t="shared" si="10"/>
        <v>6.3512994473118923E-5</v>
      </c>
      <c r="P8" s="27">
        <v>270812.58</v>
      </c>
      <c r="Q8" s="27">
        <v>650</v>
      </c>
      <c r="R8" s="25">
        <f t="shared" si="5"/>
        <v>271462.58</v>
      </c>
      <c r="S8" s="30">
        <f t="shared" si="6"/>
        <v>2.1686081173343552E-4</v>
      </c>
      <c r="T8" s="30">
        <f t="shared" si="7"/>
        <v>7.3732675989368084E-5</v>
      </c>
      <c r="U8" s="30">
        <f t="shared" si="11"/>
        <v>2.7852957491453966E-4</v>
      </c>
      <c r="V8" s="31">
        <f t="shared" si="8"/>
        <v>1.2533830871154285E-5</v>
      </c>
      <c r="W8" s="30">
        <f t="shared" si="12"/>
        <v>4.3372162346687105E-6</v>
      </c>
      <c r="X8" s="31">
        <v>55.026934819492702</v>
      </c>
      <c r="Y8" s="32">
        <f t="shared" si="13"/>
        <v>7738.0400082961323</v>
      </c>
      <c r="Z8" s="33">
        <f t="shared" si="14"/>
        <v>3.3509714207133477E-3</v>
      </c>
      <c r="AA8" s="33">
        <f t="shared" si="15"/>
        <v>8.3774285517833702E-5</v>
      </c>
      <c r="AB8" s="33">
        <f t="shared" si="16"/>
        <v>2.5471698113207547E-3</v>
      </c>
      <c r="AC8" s="34">
        <f t="shared" si="9"/>
        <v>4.3561194296131483E-3</v>
      </c>
      <c r="AD8" s="35">
        <v>4.3561194296131483E-3</v>
      </c>
      <c r="AE8" s="36">
        <f t="shared" si="17"/>
        <v>0</v>
      </c>
    </row>
    <row r="9" spans="1:32" s="2" customFormat="1" ht="16.149999999999999" customHeight="1" x14ac:dyDescent="0.2">
      <c r="A9" s="20">
        <v>5</v>
      </c>
      <c r="B9" s="39" t="s">
        <v>36</v>
      </c>
      <c r="C9" s="22">
        <v>2167</v>
      </c>
      <c r="D9" s="24">
        <f t="shared" si="0"/>
        <v>9.3369032159103932E-4</v>
      </c>
      <c r="E9" s="24">
        <f t="shared" si="1"/>
        <v>5.9756180581826523E-4</v>
      </c>
      <c r="F9" s="25">
        <v>0</v>
      </c>
      <c r="G9" s="25">
        <v>0</v>
      </c>
      <c r="H9" s="25">
        <f t="shared" si="2"/>
        <v>0</v>
      </c>
      <c r="I9" s="26">
        <f t="shared" si="18"/>
        <v>0</v>
      </c>
      <c r="J9" s="26">
        <f t="shared" si="3"/>
        <v>0</v>
      </c>
      <c r="K9" s="27">
        <v>0</v>
      </c>
      <c r="L9" s="27">
        <v>0</v>
      </c>
      <c r="M9" s="25">
        <f t="shared" si="4"/>
        <v>0</v>
      </c>
      <c r="N9" s="28">
        <f t="shared" si="19"/>
        <v>0</v>
      </c>
      <c r="O9" s="29">
        <f t="shared" si="10"/>
        <v>0</v>
      </c>
      <c r="P9" s="27">
        <v>0</v>
      </c>
      <c r="Q9" s="27">
        <v>0</v>
      </c>
      <c r="R9" s="25">
        <f t="shared" si="5"/>
        <v>0</v>
      </c>
      <c r="S9" s="30">
        <f t="shared" si="6"/>
        <v>0</v>
      </c>
      <c r="T9" s="30">
        <f t="shared" si="7"/>
        <v>0</v>
      </c>
      <c r="U9" s="30">
        <f t="shared" si="11"/>
        <v>0</v>
      </c>
      <c r="V9" s="31">
        <f t="shared" si="8"/>
        <v>0</v>
      </c>
      <c r="W9" s="30">
        <f t="shared" si="12"/>
        <v>0</v>
      </c>
      <c r="X9" s="31">
        <v>54.383083000653997</v>
      </c>
      <c r="Y9" s="32">
        <f t="shared" si="13"/>
        <v>2909.8976904320507</v>
      </c>
      <c r="Z9" s="33">
        <f t="shared" si="14"/>
        <v>1.2601361568799492E-3</v>
      </c>
      <c r="AA9" s="33">
        <f t="shared" si="15"/>
        <v>3.1503403921998733E-5</v>
      </c>
      <c r="AB9" s="33">
        <f t="shared" si="16"/>
        <v>2.5471698113207547E-3</v>
      </c>
      <c r="AC9" s="34">
        <f t="shared" si="9"/>
        <v>3.1762350210610187E-3</v>
      </c>
      <c r="AD9" s="35">
        <v>3.1762350210610187E-3</v>
      </c>
      <c r="AE9" s="36">
        <f t="shared" si="17"/>
        <v>0</v>
      </c>
    </row>
    <row r="10" spans="1:32" s="2" customFormat="1" ht="16.149999999999999" customHeight="1" x14ac:dyDescent="0.2">
      <c r="A10" s="20">
        <v>6</v>
      </c>
      <c r="B10" s="21" t="s">
        <v>37</v>
      </c>
      <c r="C10" s="22">
        <v>9159</v>
      </c>
      <c r="D10" s="24">
        <f t="shared" si="0"/>
        <v>3.9463173306194411E-3</v>
      </c>
      <c r="E10" s="24">
        <f t="shared" si="1"/>
        <v>2.5256430915964424E-3</v>
      </c>
      <c r="F10" s="25">
        <v>111676.66</v>
      </c>
      <c r="G10" s="25">
        <v>197134</v>
      </c>
      <c r="H10" s="25">
        <f t="shared" si="2"/>
        <v>308810.66000000003</v>
      </c>
      <c r="I10" s="26">
        <f t="shared" si="18"/>
        <v>2.8631022160354759E-4</v>
      </c>
      <c r="J10" s="26">
        <f t="shared" si="3"/>
        <v>9.4482373129170717E-5</v>
      </c>
      <c r="K10" s="27">
        <v>80087</v>
      </c>
      <c r="L10" s="27">
        <v>97394</v>
      </c>
      <c r="M10" s="25">
        <f t="shared" si="4"/>
        <v>177481</v>
      </c>
      <c r="N10" s="28">
        <f t="shared" si="19"/>
        <v>1.6948727888112426E-4</v>
      </c>
      <c r="O10" s="29">
        <f t="shared" si="10"/>
        <v>5.5930802030771008E-5</v>
      </c>
      <c r="P10" s="27">
        <v>139023</v>
      </c>
      <c r="Q10" s="27">
        <v>118617</v>
      </c>
      <c r="R10" s="25">
        <f t="shared" si="5"/>
        <v>257640</v>
      </c>
      <c r="S10" s="30">
        <f t="shared" si="6"/>
        <v>2.0581849452326847E-4</v>
      </c>
      <c r="T10" s="30">
        <f t="shared" si="7"/>
        <v>6.997828813791129E-5</v>
      </c>
      <c r="U10" s="30">
        <f t="shared" si="11"/>
        <v>2.2039146329785303E-4</v>
      </c>
      <c r="V10" s="31">
        <f t="shared" si="8"/>
        <v>9.9176158484033863E-6</v>
      </c>
      <c r="W10" s="30">
        <f t="shared" si="12"/>
        <v>4.1163698904653691E-6</v>
      </c>
      <c r="X10" s="31">
        <v>54.146130246399998</v>
      </c>
      <c r="Y10" s="32">
        <f t="shared" si="13"/>
        <v>12614.90535146117</v>
      </c>
      <c r="Z10" s="33">
        <f t="shared" si="14"/>
        <v>5.4629062737371814E-3</v>
      </c>
      <c r="AA10" s="33">
        <f t="shared" si="15"/>
        <v>1.3657265684342953E-4</v>
      </c>
      <c r="AB10" s="33">
        <f t="shared" si="16"/>
        <v>2.5471698113207547E-3</v>
      </c>
      <c r="AC10" s="34">
        <f t="shared" si="9"/>
        <v>5.2234195454994954E-3</v>
      </c>
      <c r="AD10" s="35">
        <v>5.2234195454994954E-3</v>
      </c>
      <c r="AE10" s="36">
        <f t="shared" si="17"/>
        <v>0</v>
      </c>
    </row>
    <row r="11" spans="1:32" s="2" customFormat="1" ht="16.149999999999999" customHeight="1" x14ac:dyDescent="0.2">
      <c r="A11" s="20">
        <v>7</v>
      </c>
      <c r="B11" s="39" t="s">
        <v>38</v>
      </c>
      <c r="C11" s="22">
        <v>7490</v>
      </c>
      <c r="D11" s="24">
        <f t="shared" si="0"/>
        <v>3.2271991272343724E-3</v>
      </c>
      <c r="E11" s="24">
        <f t="shared" si="1"/>
        <v>2.0654074414299985E-3</v>
      </c>
      <c r="F11" s="25">
        <v>64825.5</v>
      </c>
      <c r="G11" s="25">
        <v>15760</v>
      </c>
      <c r="H11" s="25">
        <f t="shared" si="2"/>
        <v>80585.5</v>
      </c>
      <c r="I11" s="26">
        <f t="shared" si="18"/>
        <v>7.4713911634503429E-5</v>
      </c>
      <c r="J11" s="26">
        <f t="shared" si="3"/>
        <v>2.4655590839386131E-5</v>
      </c>
      <c r="K11" s="27">
        <v>52111</v>
      </c>
      <c r="L11" s="27">
        <v>11460</v>
      </c>
      <c r="M11" s="25">
        <f t="shared" si="4"/>
        <v>63571</v>
      </c>
      <c r="N11" s="28">
        <f t="shared" si="19"/>
        <v>6.0707770441635721E-5</v>
      </c>
      <c r="O11" s="29">
        <f t="shared" si="10"/>
        <v>2.0033564245739788E-5</v>
      </c>
      <c r="P11" s="27">
        <v>61295</v>
      </c>
      <c r="Q11" s="27">
        <v>18865</v>
      </c>
      <c r="R11" s="25">
        <f t="shared" si="5"/>
        <v>80160</v>
      </c>
      <c r="S11" s="30">
        <f t="shared" si="6"/>
        <v>6.4036681109242352E-5</v>
      </c>
      <c r="T11" s="30">
        <f t="shared" si="7"/>
        <v>2.1772471577142402E-5</v>
      </c>
      <c r="U11" s="30">
        <f t="shared" si="11"/>
        <v>6.6461626662268328E-5</v>
      </c>
      <c r="V11" s="31">
        <f t="shared" si="8"/>
        <v>2.9907731998020747E-6</v>
      </c>
      <c r="W11" s="30">
        <f t="shared" si="12"/>
        <v>1.280733622184847E-6</v>
      </c>
      <c r="X11" s="31">
        <v>56.256665752072699</v>
      </c>
      <c r="Y11" s="32">
        <f t="shared" si="13"/>
        <v>8014.5207040716241</v>
      </c>
      <c r="Z11" s="33">
        <f t="shared" si="14"/>
        <v>3.4707018574814848E-3</v>
      </c>
      <c r="AA11" s="33">
        <f t="shared" si="15"/>
        <v>8.676754643703713E-5</v>
      </c>
      <c r="AB11" s="33">
        <f t="shared" si="16"/>
        <v>2.5471698113207547E-3</v>
      </c>
      <c r="AC11" s="34">
        <f t="shared" si="9"/>
        <v>4.7036163060097773E-3</v>
      </c>
      <c r="AD11" s="35">
        <v>4.7036163060097773E-3</v>
      </c>
      <c r="AE11" s="36">
        <f t="shared" si="17"/>
        <v>0</v>
      </c>
    </row>
    <row r="12" spans="1:32" s="2" customFormat="1" ht="16.149999999999999" customHeight="1" x14ac:dyDescent="0.2">
      <c r="A12" s="20">
        <v>8</v>
      </c>
      <c r="B12" s="21" t="s">
        <v>39</v>
      </c>
      <c r="C12" s="22">
        <v>3949</v>
      </c>
      <c r="D12" s="24">
        <f t="shared" si="0"/>
        <v>1.7014965758943305E-3</v>
      </c>
      <c r="E12" s="24">
        <f t="shared" si="1"/>
        <v>1.0889578085723716E-3</v>
      </c>
      <c r="F12" s="25">
        <v>33013.21</v>
      </c>
      <c r="G12" s="25">
        <v>5525</v>
      </c>
      <c r="H12" s="25">
        <f t="shared" si="2"/>
        <v>38538.21</v>
      </c>
      <c r="I12" s="26">
        <f t="shared" si="18"/>
        <v>3.5730254406710093E-5</v>
      </c>
      <c r="J12" s="26">
        <f t="shared" si="3"/>
        <v>1.1790983954214331E-5</v>
      </c>
      <c r="K12" s="27">
        <v>36716.720000000001</v>
      </c>
      <c r="L12" s="27">
        <v>58257</v>
      </c>
      <c r="M12" s="25">
        <f t="shared" si="4"/>
        <v>94973.72</v>
      </c>
      <c r="N12" s="28">
        <f t="shared" si="19"/>
        <v>9.069611602378738E-5</v>
      </c>
      <c r="O12" s="29">
        <f t="shared" si="10"/>
        <v>2.9929718287849837E-5</v>
      </c>
      <c r="P12" s="27">
        <v>52800.18</v>
      </c>
      <c r="Q12" s="27">
        <v>4308</v>
      </c>
      <c r="R12" s="25">
        <f t="shared" si="5"/>
        <v>57108.18</v>
      </c>
      <c r="S12" s="30">
        <f t="shared" si="6"/>
        <v>4.5621485920524103E-5</v>
      </c>
      <c r="T12" s="30">
        <f t="shared" si="7"/>
        <v>1.5511305212978197E-5</v>
      </c>
      <c r="U12" s="30">
        <f t="shared" si="11"/>
        <v>5.7232007455042365E-5</v>
      </c>
      <c r="V12" s="31">
        <f t="shared" si="8"/>
        <v>2.5754403354769065E-6</v>
      </c>
      <c r="W12" s="30">
        <f t="shared" si="12"/>
        <v>9.1242971841048207E-7</v>
      </c>
      <c r="X12" s="31">
        <v>52.119102222447303</v>
      </c>
      <c r="Y12" s="32">
        <f t="shared" si="13"/>
        <v>6604.5394711096887</v>
      </c>
      <c r="Z12" s="33">
        <f t="shared" si="14"/>
        <v>2.8601070802081654E-3</v>
      </c>
      <c r="AA12" s="33">
        <f t="shared" si="15"/>
        <v>7.1502677005204143E-5</v>
      </c>
      <c r="AB12" s="33">
        <f t="shared" si="16"/>
        <v>2.5471698113207547E-3</v>
      </c>
      <c r="AC12" s="34">
        <f t="shared" si="9"/>
        <v>3.7111181669522179E-3</v>
      </c>
      <c r="AD12" s="35">
        <v>3.7111181669522179E-3</v>
      </c>
      <c r="AE12" s="36">
        <f t="shared" si="17"/>
        <v>0</v>
      </c>
    </row>
    <row r="13" spans="1:32" s="2" customFormat="1" ht="16.149999999999999" customHeight="1" x14ac:dyDescent="0.2">
      <c r="A13" s="20">
        <v>9</v>
      </c>
      <c r="B13" s="39" t="s">
        <v>40</v>
      </c>
      <c r="C13" s="22">
        <v>4466</v>
      </c>
      <c r="D13" s="24">
        <f t="shared" si="0"/>
        <v>1.924255180537878E-3</v>
      </c>
      <c r="E13" s="24">
        <f t="shared" si="1"/>
        <v>1.231523315544242E-3</v>
      </c>
      <c r="F13" s="25">
        <v>67793</v>
      </c>
      <c r="G13" s="25">
        <v>39213</v>
      </c>
      <c r="H13" s="25">
        <f t="shared" si="2"/>
        <v>107006</v>
      </c>
      <c r="I13" s="26">
        <f t="shared" si="18"/>
        <v>9.9209371764916437E-5</v>
      </c>
      <c r="J13" s="26">
        <f t="shared" si="3"/>
        <v>3.2739092682422426E-5</v>
      </c>
      <c r="K13" s="27">
        <v>54723</v>
      </c>
      <c r="L13" s="27">
        <v>90810</v>
      </c>
      <c r="M13" s="25">
        <f t="shared" si="4"/>
        <v>145533</v>
      </c>
      <c r="N13" s="28">
        <f t="shared" si="19"/>
        <v>1.389782126391369E-4</v>
      </c>
      <c r="O13" s="29">
        <f t="shared" si="10"/>
        <v>4.586281017091518E-5</v>
      </c>
      <c r="P13" s="27">
        <v>84738</v>
      </c>
      <c r="Q13" s="27">
        <v>42076</v>
      </c>
      <c r="R13" s="25">
        <f t="shared" si="5"/>
        <v>126814</v>
      </c>
      <c r="S13" s="30">
        <f t="shared" si="6"/>
        <v>1.0130673251231861E-4</v>
      </c>
      <c r="T13" s="30">
        <f t="shared" si="7"/>
        <v>3.4444289054188331E-5</v>
      </c>
      <c r="U13" s="30">
        <f t="shared" si="11"/>
        <v>1.1304619190752595E-4</v>
      </c>
      <c r="V13" s="31">
        <f t="shared" si="8"/>
        <v>5.0870786358386673E-6</v>
      </c>
      <c r="W13" s="30">
        <f t="shared" si="12"/>
        <v>2.0261346502463723E-6</v>
      </c>
      <c r="X13" s="31">
        <v>53.728510472629701</v>
      </c>
      <c r="Y13" s="32">
        <f t="shared" si="13"/>
        <v>6422.6835565767215</v>
      </c>
      <c r="Z13" s="33">
        <f t="shared" si="14"/>
        <v>2.7813540663139081E-3</v>
      </c>
      <c r="AA13" s="33">
        <f t="shared" si="15"/>
        <v>6.9533851657847706E-5</v>
      </c>
      <c r="AB13" s="33">
        <f t="shared" si="16"/>
        <v>2.5471698113207547E-3</v>
      </c>
      <c r="AC13" s="34">
        <f t="shared" si="9"/>
        <v>3.8553401918089295E-3</v>
      </c>
      <c r="AD13" s="35">
        <v>3.8553401918089295E-3</v>
      </c>
      <c r="AE13" s="36">
        <f t="shared" si="17"/>
        <v>0</v>
      </c>
    </row>
    <row r="14" spans="1:32" s="2" customFormat="1" ht="16.149999999999999" customHeight="1" x14ac:dyDescent="0.2">
      <c r="A14" s="20">
        <v>10</v>
      </c>
      <c r="B14" s="21" t="s">
        <v>41</v>
      </c>
      <c r="C14" s="22">
        <v>2755</v>
      </c>
      <c r="D14" s="24">
        <f t="shared" si="0"/>
        <v>1.1870405334486909E-3</v>
      </c>
      <c r="E14" s="24">
        <f t="shared" si="1"/>
        <v>7.5970594140716224E-4</v>
      </c>
      <c r="F14" s="25">
        <v>0</v>
      </c>
      <c r="G14" s="25">
        <v>0</v>
      </c>
      <c r="H14" s="25">
        <f t="shared" si="2"/>
        <v>0</v>
      </c>
      <c r="I14" s="26">
        <f t="shared" si="18"/>
        <v>0</v>
      </c>
      <c r="J14" s="26">
        <f t="shared" si="3"/>
        <v>0</v>
      </c>
      <c r="K14" s="27">
        <v>0</v>
      </c>
      <c r="L14" s="27">
        <v>0</v>
      </c>
      <c r="M14" s="25">
        <f t="shared" si="4"/>
        <v>0</v>
      </c>
      <c r="N14" s="28">
        <f t="shared" si="19"/>
        <v>0</v>
      </c>
      <c r="O14" s="29">
        <f t="shared" si="10"/>
        <v>0</v>
      </c>
      <c r="P14" s="27">
        <v>0</v>
      </c>
      <c r="Q14" s="27">
        <v>0</v>
      </c>
      <c r="R14" s="25">
        <f t="shared" si="5"/>
        <v>0</v>
      </c>
      <c r="S14" s="30">
        <f t="shared" si="6"/>
        <v>0</v>
      </c>
      <c r="T14" s="30">
        <f t="shared" si="7"/>
        <v>0</v>
      </c>
      <c r="U14" s="30">
        <f t="shared" si="11"/>
        <v>0</v>
      </c>
      <c r="V14" s="31">
        <f t="shared" si="8"/>
        <v>0</v>
      </c>
      <c r="W14" s="30">
        <f t="shared" si="12"/>
        <v>0</v>
      </c>
      <c r="X14" s="31">
        <v>49.061852249180603</v>
      </c>
      <c r="Y14" s="32">
        <f t="shared" si="13"/>
        <v>5833.9723309906803</v>
      </c>
      <c r="Z14" s="33">
        <f t="shared" si="14"/>
        <v>2.5264116661871425E-3</v>
      </c>
      <c r="AA14" s="33">
        <f t="shared" si="15"/>
        <v>6.3160291654678569E-5</v>
      </c>
      <c r="AB14" s="33">
        <f t="shared" si="16"/>
        <v>2.5471698113207547E-3</v>
      </c>
      <c r="AC14" s="34">
        <f t="shared" si="9"/>
        <v>3.3700360443825956E-3</v>
      </c>
      <c r="AD14" s="35">
        <v>3.3700360443825956E-3</v>
      </c>
      <c r="AE14" s="36">
        <f t="shared" si="17"/>
        <v>0</v>
      </c>
    </row>
    <row r="15" spans="1:32" s="2" customFormat="1" ht="16.149999999999999" customHeight="1" x14ac:dyDescent="0.2">
      <c r="A15" s="20">
        <v>11</v>
      </c>
      <c r="B15" s="21" t="s">
        <v>42</v>
      </c>
      <c r="C15" s="22">
        <v>8389</v>
      </c>
      <c r="D15" s="24">
        <f t="shared" si="0"/>
        <v>3.6145491960439449E-3</v>
      </c>
      <c r="E15" s="24">
        <f t="shared" si="1"/>
        <v>2.3133114854681247E-3</v>
      </c>
      <c r="F15" s="25">
        <v>530347.30000000005</v>
      </c>
      <c r="G15" s="25">
        <v>23110</v>
      </c>
      <c r="H15" s="25">
        <f t="shared" si="2"/>
        <v>553457.30000000005</v>
      </c>
      <c r="I15" s="26">
        <f t="shared" si="18"/>
        <v>5.1313151628606707E-4</v>
      </c>
      <c r="J15" s="26">
        <f t="shared" si="3"/>
        <v>1.6933340037440214E-4</v>
      </c>
      <c r="K15" s="27">
        <v>382911.11</v>
      </c>
      <c r="L15" s="27">
        <v>37000</v>
      </c>
      <c r="M15" s="25">
        <f t="shared" si="4"/>
        <v>419911.11</v>
      </c>
      <c r="N15" s="28">
        <f t="shared" si="19"/>
        <v>4.0099836830901584E-4</v>
      </c>
      <c r="O15" s="29">
        <f t="shared" si="10"/>
        <v>1.3232946154197522E-4</v>
      </c>
      <c r="P15" s="27">
        <v>300492.55</v>
      </c>
      <c r="Q15" s="27">
        <v>8900</v>
      </c>
      <c r="R15" s="25">
        <f t="shared" si="5"/>
        <v>309392.55</v>
      </c>
      <c r="S15" s="30">
        <f t="shared" si="6"/>
        <v>2.4716157761882883E-4</v>
      </c>
      <c r="T15" s="30">
        <f t="shared" si="7"/>
        <v>8.4034936390401811E-5</v>
      </c>
      <c r="U15" s="30">
        <f t="shared" si="11"/>
        <v>3.8569779830677919E-4</v>
      </c>
      <c r="V15" s="31">
        <f t="shared" si="8"/>
        <v>1.7356400923805065E-5</v>
      </c>
      <c r="W15" s="30">
        <f t="shared" si="12"/>
        <v>4.9432315523765769E-6</v>
      </c>
      <c r="X15" s="31">
        <v>55.201169409642802</v>
      </c>
      <c r="Y15" s="32">
        <f t="shared" si="13"/>
        <v>10265.70095815694</v>
      </c>
      <c r="Z15" s="33">
        <f t="shared" si="14"/>
        <v>4.4455793052882156E-3</v>
      </c>
      <c r="AA15" s="33">
        <f t="shared" si="15"/>
        <v>1.1113948263220539E-4</v>
      </c>
      <c r="AB15" s="33">
        <f t="shared" si="16"/>
        <v>2.5471698113207547E-3</v>
      </c>
      <c r="AC15" s="34">
        <f t="shared" si="9"/>
        <v>4.9939204118972669E-3</v>
      </c>
      <c r="AD15" s="35">
        <v>4.9939204118972669E-3</v>
      </c>
      <c r="AE15" s="36">
        <f t="shared" si="17"/>
        <v>0</v>
      </c>
    </row>
    <row r="16" spans="1:32" s="2" customFormat="1" ht="16.149999999999999" customHeight="1" x14ac:dyDescent="0.2">
      <c r="A16" s="20">
        <v>12</v>
      </c>
      <c r="B16" s="21" t="s">
        <v>43</v>
      </c>
      <c r="C16" s="22">
        <v>3736</v>
      </c>
      <c r="D16" s="24">
        <f t="shared" si="0"/>
        <v>1.609721754252018E-3</v>
      </c>
      <c r="E16" s="24">
        <f t="shared" si="1"/>
        <v>1.0302219227212915E-3</v>
      </c>
      <c r="F16" s="25">
        <v>216144.5</v>
      </c>
      <c r="G16" s="25">
        <v>168126</v>
      </c>
      <c r="H16" s="25">
        <f t="shared" si="2"/>
        <v>384270.5</v>
      </c>
      <c r="I16" s="26">
        <f t="shared" si="18"/>
        <v>3.5627193702026359E-4</v>
      </c>
      <c r="J16" s="26">
        <f t="shared" si="3"/>
        <v>1.1756973921668699E-4</v>
      </c>
      <c r="K16" s="27">
        <v>306413</v>
      </c>
      <c r="L16" s="27">
        <v>222517</v>
      </c>
      <c r="M16" s="25">
        <f t="shared" si="4"/>
        <v>528930</v>
      </c>
      <c r="N16" s="28">
        <f t="shared" si="19"/>
        <v>5.0510706170572091E-4</v>
      </c>
      <c r="O16" s="29">
        <f t="shared" si="10"/>
        <v>1.6668533036288792E-4</v>
      </c>
      <c r="P16" s="27">
        <v>438760</v>
      </c>
      <c r="Q16" s="27">
        <v>223756</v>
      </c>
      <c r="R16" s="25">
        <f t="shared" si="5"/>
        <v>662516</v>
      </c>
      <c r="S16" s="30">
        <f t="shared" si="6"/>
        <v>5.2925805665881751E-4</v>
      </c>
      <c r="T16" s="30">
        <f t="shared" si="7"/>
        <v>1.7994773926399796E-4</v>
      </c>
      <c r="U16" s="30">
        <f t="shared" si="11"/>
        <v>4.6420280884357289E-4</v>
      </c>
      <c r="V16" s="31">
        <f t="shared" si="8"/>
        <v>2.0889126397960779E-5</v>
      </c>
      <c r="W16" s="30">
        <f t="shared" si="12"/>
        <v>1.0585161133176351E-5</v>
      </c>
      <c r="X16" s="31">
        <v>53.734002402342497</v>
      </c>
      <c r="Y16" s="32">
        <f t="shared" si="13"/>
        <v>5369.862078817926</v>
      </c>
      <c r="Z16" s="33">
        <f t="shared" si="14"/>
        <v>2.3254279300700411E-3</v>
      </c>
      <c r="AA16" s="33">
        <f t="shared" si="15"/>
        <v>5.8135698251751027E-5</v>
      </c>
      <c r="AB16" s="33">
        <f t="shared" si="16"/>
        <v>2.5471698113207547E-3</v>
      </c>
      <c r="AC16" s="34">
        <f t="shared" si="9"/>
        <v>3.6670017198249345E-3</v>
      </c>
      <c r="AD16" s="35">
        <v>3.6670017198249345E-3</v>
      </c>
      <c r="AE16" s="36">
        <f t="shared" si="17"/>
        <v>0</v>
      </c>
    </row>
    <row r="17" spans="1:31" s="2" customFormat="1" ht="16.149999999999999" customHeight="1" x14ac:dyDescent="0.2">
      <c r="A17" s="20">
        <v>13</v>
      </c>
      <c r="B17" s="39" t="s">
        <v>44</v>
      </c>
      <c r="C17" s="22">
        <v>16671</v>
      </c>
      <c r="D17" s="24">
        <f t="shared" si="0"/>
        <v>7.1829955474131133E-3</v>
      </c>
      <c r="E17" s="24">
        <f t="shared" si="1"/>
        <v>4.5971171503443927E-3</v>
      </c>
      <c r="F17" s="25">
        <v>1947092.82</v>
      </c>
      <c r="G17" s="25">
        <v>646498.4</v>
      </c>
      <c r="H17" s="25">
        <f t="shared" si="2"/>
        <v>2593591.2200000002</v>
      </c>
      <c r="I17" s="26">
        <f t="shared" si="18"/>
        <v>2.4046180172252324E-3</v>
      </c>
      <c r="J17" s="26">
        <f t="shared" si="3"/>
        <v>7.9352394568432672E-4</v>
      </c>
      <c r="K17" s="27">
        <v>5209291.54</v>
      </c>
      <c r="L17" s="27">
        <v>2121109.84</v>
      </c>
      <c r="M17" s="25">
        <f t="shared" si="4"/>
        <v>7330401.3799999999</v>
      </c>
      <c r="N17" s="28">
        <f t="shared" si="19"/>
        <v>7.0002410568040414E-3</v>
      </c>
      <c r="O17" s="29">
        <f t="shared" si="10"/>
        <v>2.3100795487453339E-3</v>
      </c>
      <c r="P17" s="27">
        <v>9123211.2799999993</v>
      </c>
      <c r="Q17" s="27">
        <v>620168.62</v>
      </c>
      <c r="R17" s="25">
        <f t="shared" si="5"/>
        <v>9743379.8999999985</v>
      </c>
      <c r="S17" s="30">
        <f t="shared" si="6"/>
        <v>7.7836041864084524E-3</v>
      </c>
      <c r="T17" s="30">
        <f t="shared" si="7"/>
        <v>2.6464254233788741E-3</v>
      </c>
      <c r="U17" s="30">
        <f t="shared" si="11"/>
        <v>5.7500289178085348E-3</v>
      </c>
      <c r="V17" s="31">
        <f t="shared" si="8"/>
        <v>2.5875130130138406E-4</v>
      </c>
      <c r="W17" s="30">
        <f t="shared" si="12"/>
        <v>1.5567208372816905E-4</v>
      </c>
      <c r="X17" s="31">
        <v>58.883084195099201</v>
      </c>
      <c r="Y17" s="32">
        <f t="shared" si="13"/>
        <v>11463.362052637745</v>
      </c>
      <c r="Z17" s="33">
        <f t="shared" si="14"/>
        <v>4.9642284845380861E-3</v>
      </c>
      <c r="AA17" s="33">
        <f t="shared" si="15"/>
        <v>1.2410571211345217E-4</v>
      </c>
      <c r="AB17" s="33">
        <f t="shared" si="16"/>
        <v>2.5471698113207547E-3</v>
      </c>
      <c r="AC17" s="34">
        <f t="shared" si="9"/>
        <v>7.6828160588081522E-3</v>
      </c>
      <c r="AD17" s="35">
        <v>7.6828160588081522E-3</v>
      </c>
      <c r="AE17" s="36">
        <f t="shared" si="17"/>
        <v>0</v>
      </c>
    </row>
    <row r="18" spans="1:31" s="2" customFormat="1" ht="16.149999999999999" customHeight="1" x14ac:dyDescent="0.2">
      <c r="A18" s="20">
        <v>14</v>
      </c>
      <c r="B18" s="21" t="s">
        <v>45</v>
      </c>
      <c r="C18" s="22">
        <v>1714</v>
      </c>
      <c r="D18" s="24">
        <f t="shared" si="0"/>
        <v>7.3850725021090973E-4</v>
      </c>
      <c r="E18" s="24">
        <f t="shared" si="1"/>
        <v>4.7264464013498222E-4</v>
      </c>
      <c r="F18" s="25">
        <v>13788</v>
      </c>
      <c r="G18" s="25">
        <v>4215</v>
      </c>
      <c r="H18" s="25">
        <f t="shared" si="2"/>
        <v>18003</v>
      </c>
      <c r="I18" s="26">
        <f t="shared" si="18"/>
        <v>1.6691272637831436E-5</v>
      </c>
      <c r="J18" s="26">
        <f t="shared" si="3"/>
        <v>5.5081199704843742E-6</v>
      </c>
      <c r="K18" s="27">
        <v>31363</v>
      </c>
      <c r="L18" s="27">
        <v>800</v>
      </c>
      <c r="M18" s="25">
        <f t="shared" si="4"/>
        <v>32163</v>
      </c>
      <c r="N18" s="28">
        <f t="shared" si="19"/>
        <v>3.071438266999622E-5</v>
      </c>
      <c r="O18" s="29">
        <f t="shared" si="10"/>
        <v>1.0135746281098754E-5</v>
      </c>
      <c r="P18" s="27">
        <v>37804</v>
      </c>
      <c r="Q18" s="27">
        <v>450</v>
      </c>
      <c r="R18" s="25">
        <f t="shared" si="5"/>
        <v>38254</v>
      </c>
      <c r="S18" s="30">
        <f t="shared" si="6"/>
        <v>3.0559620747916133E-5</v>
      </c>
      <c r="T18" s="30">
        <f t="shared" si="7"/>
        <v>1.0390271054291487E-5</v>
      </c>
      <c r="U18" s="30">
        <f t="shared" si="11"/>
        <v>2.6034137305874615E-5</v>
      </c>
      <c r="V18" s="31">
        <f t="shared" si="8"/>
        <v>1.1715361787643577E-6</v>
      </c>
      <c r="W18" s="30">
        <f t="shared" si="12"/>
        <v>6.1119241495832268E-7</v>
      </c>
      <c r="X18" s="31">
        <v>52.603119206433099</v>
      </c>
      <c r="Y18" s="32">
        <f t="shared" si="13"/>
        <v>2745.8037358332836</v>
      </c>
      <c r="Z18" s="33">
        <f t="shared" si="14"/>
        <v>1.1890749900233849E-3</v>
      </c>
      <c r="AA18" s="33">
        <f t="shared" si="15"/>
        <v>2.9726874750584623E-5</v>
      </c>
      <c r="AB18" s="33">
        <f t="shared" si="16"/>
        <v>2.5471698113207547E-3</v>
      </c>
      <c r="AC18" s="34">
        <f t="shared" si="9"/>
        <v>3.0513240548000441E-3</v>
      </c>
      <c r="AD18" s="35">
        <v>3.0513240548000441E-3</v>
      </c>
      <c r="AE18" s="36">
        <f t="shared" si="17"/>
        <v>0</v>
      </c>
    </row>
    <row r="19" spans="1:31" s="2" customFormat="1" ht="16.149999999999999" customHeight="1" x14ac:dyDescent="0.2">
      <c r="A19" s="20">
        <v>15</v>
      </c>
      <c r="B19" s="39" t="s">
        <v>46</v>
      </c>
      <c r="C19" s="22">
        <v>5560</v>
      </c>
      <c r="D19" s="24">
        <f t="shared" si="0"/>
        <v>2.3956244522594272E-3</v>
      </c>
      <c r="E19" s="24">
        <f t="shared" si="1"/>
        <v>1.5331996494460335E-3</v>
      </c>
      <c r="F19" s="25">
        <v>19150</v>
      </c>
      <c r="G19" s="25">
        <v>0</v>
      </c>
      <c r="H19" s="25">
        <f t="shared" si="2"/>
        <v>19150</v>
      </c>
      <c r="I19" s="26">
        <f t="shared" si="18"/>
        <v>1.7754700384073322E-5</v>
      </c>
      <c r="J19" s="26">
        <f t="shared" si="3"/>
        <v>5.8590511267441967E-6</v>
      </c>
      <c r="K19" s="27">
        <v>20500</v>
      </c>
      <c r="L19" s="27">
        <v>0</v>
      </c>
      <c r="M19" s="25">
        <f t="shared" si="4"/>
        <v>20500</v>
      </c>
      <c r="N19" s="28">
        <f t="shared" si="19"/>
        <v>1.9576682670612894E-5</v>
      </c>
      <c r="O19" s="29">
        <f t="shared" si="10"/>
        <v>6.460305281302255E-6</v>
      </c>
      <c r="P19" s="27">
        <v>21650</v>
      </c>
      <c r="Q19" s="27">
        <v>0</v>
      </c>
      <c r="R19" s="25">
        <f t="shared" si="5"/>
        <v>21650</v>
      </c>
      <c r="S19" s="30">
        <f t="shared" si="6"/>
        <v>1.7295336152882947E-5</v>
      </c>
      <c r="T19" s="30">
        <f t="shared" si="7"/>
        <v>5.8804142919802025E-6</v>
      </c>
      <c r="U19" s="30">
        <f t="shared" si="11"/>
        <v>1.8199770700026655E-5</v>
      </c>
      <c r="V19" s="31">
        <f t="shared" si="8"/>
        <v>8.1898968150119941E-7</v>
      </c>
      <c r="W19" s="30">
        <f t="shared" si="12"/>
        <v>3.4590672305765894E-7</v>
      </c>
      <c r="X19" s="31">
        <v>51.711242823354397</v>
      </c>
      <c r="Y19" s="32">
        <f t="shared" si="13"/>
        <v>9629.0473297529661</v>
      </c>
      <c r="Z19" s="33">
        <f t="shared" si="14"/>
        <v>4.1698753658684275E-3</v>
      </c>
      <c r="AA19" s="33">
        <f t="shared" si="15"/>
        <v>1.042468841467107E-4</v>
      </c>
      <c r="AB19" s="33">
        <f t="shared" si="16"/>
        <v>2.5471698113207547E-3</v>
      </c>
      <c r="AC19" s="34">
        <f t="shared" si="9"/>
        <v>4.1857812413180571E-3</v>
      </c>
      <c r="AD19" s="35">
        <v>4.1857812413180571E-3</v>
      </c>
      <c r="AE19" s="36">
        <f t="shared" si="17"/>
        <v>0</v>
      </c>
    </row>
    <row r="20" spans="1:31" s="2" customFormat="1" ht="16.149999999999999" customHeight="1" x14ac:dyDescent="0.2">
      <c r="A20" s="20">
        <v>16</v>
      </c>
      <c r="B20" s="21" t="s">
        <v>47</v>
      </c>
      <c r="C20" s="22">
        <v>3104</v>
      </c>
      <c r="D20" s="24">
        <f t="shared" si="0"/>
        <v>1.3374133632757666E-3</v>
      </c>
      <c r="E20" s="24">
        <f t="shared" si="1"/>
        <v>8.559445524964907E-4</v>
      </c>
      <c r="F20" s="25">
        <v>0</v>
      </c>
      <c r="G20" s="25">
        <v>23390</v>
      </c>
      <c r="H20" s="25">
        <f t="shared" si="2"/>
        <v>23390</v>
      </c>
      <c r="I20" s="26">
        <f t="shared" si="18"/>
        <v>2.1685767205403394E-5</v>
      </c>
      <c r="J20" s="26">
        <f t="shared" si="3"/>
        <v>7.1563031777831205E-6</v>
      </c>
      <c r="K20" s="27">
        <v>0</v>
      </c>
      <c r="L20" s="27">
        <v>0</v>
      </c>
      <c r="M20" s="25">
        <f t="shared" si="4"/>
        <v>0</v>
      </c>
      <c r="N20" s="28">
        <f t="shared" si="19"/>
        <v>0</v>
      </c>
      <c r="O20" s="29">
        <f t="shared" si="10"/>
        <v>0</v>
      </c>
      <c r="P20" s="27">
        <v>0</v>
      </c>
      <c r="Q20" s="27">
        <v>0</v>
      </c>
      <c r="R20" s="25">
        <f t="shared" si="5"/>
        <v>0</v>
      </c>
      <c r="S20" s="30">
        <f t="shared" si="6"/>
        <v>0</v>
      </c>
      <c r="T20" s="30">
        <f t="shared" si="7"/>
        <v>0</v>
      </c>
      <c r="U20" s="30">
        <f t="shared" si="11"/>
        <v>7.1563031777831205E-6</v>
      </c>
      <c r="V20" s="31">
        <f t="shared" si="8"/>
        <v>3.2203364300024041E-7</v>
      </c>
      <c r="W20" s="30">
        <f t="shared" si="12"/>
        <v>0</v>
      </c>
      <c r="X20" s="31">
        <v>52.303856046019497</v>
      </c>
      <c r="Y20" s="32">
        <f t="shared" si="13"/>
        <v>5107.8137693074341</v>
      </c>
      <c r="Z20" s="33">
        <f t="shared" si="14"/>
        <v>2.211947462784468E-3</v>
      </c>
      <c r="AA20" s="33">
        <f t="shared" si="15"/>
        <v>5.5298686569611701E-5</v>
      </c>
      <c r="AB20" s="33">
        <f t="shared" si="16"/>
        <v>2.5471698113207547E-3</v>
      </c>
      <c r="AC20" s="34">
        <f t="shared" si="9"/>
        <v>3.4587350840298574E-3</v>
      </c>
      <c r="AD20" s="35">
        <v>3.4587350840298574E-3</v>
      </c>
      <c r="AE20" s="36">
        <f t="shared" si="17"/>
        <v>0</v>
      </c>
    </row>
    <row r="21" spans="1:31" s="2" customFormat="1" ht="16.149999999999999" customHeight="1" x14ac:dyDescent="0.2">
      <c r="A21" s="20">
        <v>17</v>
      </c>
      <c r="B21" s="21" t="s">
        <v>48</v>
      </c>
      <c r="C21" s="22">
        <v>4686</v>
      </c>
      <c r="D21" s="24">
        <f t="shared" si="0"/>
        <v>2.0190460761308768E-3</v>
      </c>
      <c r="E21" s="24">
        <f t="shared" si="1"/>
        <v>1.2921894887237611E-3</v>
      </c>
      <c r="F21" s="25">
        <v>9000</v>
      </c>
      <c r="G21" s="25">
        <v>0</v>
      </c>
      <c r="H21" s="25">
        <f t="shared" si="2"/>
        <v>9000</v>
      </c>
      <c r="I21" s="26">
        <f t="shared" si="18"/>
        <v>8.3442456113138325E-6</v>
      </c>
      <c r="J21" s="26">
        <f t="shared" si="3"/>
        <v>2.7536010517335647E-6</v>
      </c>
      <c r="K21" s="27">
        <v>0</v>
      </c>
      <c r="L21" s="27">
        <v>0</v>
      </c>
      <c r="M21" s="25">
        <f t="shared" si="4"/>
        <v>0</v>
      </c>
      <c r="N21" s="28">
        <f t="shared" si="19"/>
        <v>0</v>
      </c>
      <c r="O21" s="29">
        <f t="shared" si="10"/>
        <v>0</v>
      </c>
      <c r="P21" s="27">
        <v>0</v>
      </c>
      <c r="Q21" s="27">
        <v>0</v>
      </c>
      <c r="R21" s="25">
        <f t="shared" si="5"/>
        <v>0</v>
      </c>
      <c r="S21" s="30">
        <f t="shared" si="6"/>
        <v>0</v>
      </c>
      <c r="T21" s="30">
        <f t="shared" si="7"/>
        <v>0</v>
      </c>
      <c r="U21" s="30">
        <f t="shared" si="11"/>
        <v>2.7536010517335647E-6</v>
      </c>
      <c r="V21" s="31">
        <f t="shared" si="8"/>
        <v>1.239120473280104E-7</v>
      </c>
      <c r="W21" s="30">
        <f t="shared" si="12"/>
        <v>0</v>
      </c>
      <c r="X21" s="31">
        <v>49.888448401560701</v>
      </c>
      <c r="Y21" s="32">
        <f t="shared" si="13"/>
        <v>9359.0756030657139</v>
      </c>
      <c r="Z21" s="33">
        <f t="shared" si="14"/>
        <v>4.052963649263228E-3</v>
      </c>
      <c r="AA21" s="33">
        <f t="shared" si="15"/>
        <v>1.013240912315807E-4</v>
      </c>
      <c r="AB21" s="33">
        <f t="shared" si="16"/>
        <v>2.5471698113207547E-3</v>
      </c>
      <c r="AC21" s="34">
        <f t="shared" si="9"/>
        <v>3.9408073033234247E-3</v>
      </c>
      <c r="AD21" s="35">
        <v>3.9408073033234247E-3</v>
      </c>
      <c r="AE21" s="36">
        <f t="shared" si="17"/>
        <v>0</v>
      </c>
    </row>
    <row r="22" spans="1:31" s="2" customFormat="1" ht="16.149999999999999" customHeight="1" x14ac:dyDescent="0.2">
      <c r="A22" s="20">
        <v>18</v>
      </c>
      <c r="B22" s="21" t="s">
        <v>49</v>
      </c>
      <c r="C22" s="22">
        <v>3385</v>
      </c>
      <c r="D22" s="24">
        <f t="shared" si="0"/>
        <v>1.4584871890104606E-3</v>
      </c>
      <c r="E22" s="24">
        <f t="shared" si="1"/>
        <v>9.3343180096669474E-4</v>
      </c>
      <c r="F22" s="25">
        <v>4600</v>
      </c>
      <c r="G22" s="25">
        <v>0</v>
      </c>
      <c r="H22" s="25">
        <f t="shared" si="2"/>
        <v>4600</v>
      </c>
      <c r="I22" s="26">
        <f t="shared" si="18"/>
        <v>4.2648366457826255E-6</v>
      </c>
      <c r="J22" s="26">
        <f t="shared" si="3"/>
        <v>1.4073960931082665E-6</v>
      </c>
      <c r="K22" s="27">
        <v>0</v>
      </c>
      <c r="L22" s="27">
        <v>0</v>
      </c>
      <c r="M22" s="25">
        <f t="shared" si="4"/>
        <v>0</v>
      </c>
      <c r="N22" s="28">
        <f t="shared" si="19"/>
        <v>0</v>
      </c>
      <c r="O22" s="29">
        <f t="shared" si="10"/>
        <v>0</v>
      </c>
      <c r="P22" s="27">
        <v>0</v>
      </c>
      <c r="Q22" s="27">
        <v>0</v>
      </c>
      <c r="R22" s="25">
        <f t="shared" si="5"/>
        <v>0</v>
      </c>
      <c r="S22" s="30">
        <f t="shared" si="6"/>
        <v>0</v>
      </c>
      <c r="T22" s="30">
        <f t="shared" si="7"/>
        <v>0</v>
      </c>
      <c r="U22" s="30">
        <f t="shared" si="11"/>
        <v>1.4073960931082665E-6</v>
      </c>
      <c r="V22" s="31">
        <f t="shared" si="8"/>
        <v>6.333282418987199E-8</v>
      </c>
      <c r="W22" s="30">
        <f t="shared" si="12"/>
        <v>0</v>
      </c>
      <c r="X22" s="31">
        <v>52.576072279621599</v>
      </c>
      <c r="Y22" s="32">
        <f t="shared" si="13"/>
        <v>5436.0523205548143</v>
      </c>
      <c r="Z22" s="33">
        <f t="shared" si="14"/>
        <v>2.3540917271236386E-3</v>
      </c>
      <c r="AA22" s="33">
        <f t="shared" si="15"/>
        <v>5.8852293178090967E-5</v>
      </c>
      <c r="AB22" s="33">
        <f t="shared" si="16"/>
        <v>2.5471698113207547E-3</v>
      </c>
      <c r="AC22" s="34">
        <f t="shared" si="9"/>
        <v>3.5395172382897302E-3</v>
      </c>
      <c r="AD22" s="35">
        <v>3.5395172382897302E-3</v>
      </c>
      <c r="AE22" s="36">
        <f t="shared" si="17"/>
        <v>0</v>
      </c>
    </row>
    <row r="23" spans="1:31" s="2" customFormat="1" ht="16.149999999999999" customHeight="1" x14ac:dyDescent="0.2">
      <c r="A23" s="20">
        <v>19</v>
      </c>
      <c r="B23" s="21" t="s">
        <v>50</v>
      </c>
      <c r="C23" s="22">
        <v>38934</v>
      </c>
      <c r="D23" s="24">
        <f t="shared" si="0"/>
        <v>1.6775403313717362E-2</v>
      </c>
      <c r="E23" s="24">
        <f t="shared" si="1"/>
        <v>1.0736258120779113E-2</v>
      </c>
      <c r="F23" s="25">
        <v>31861</v>
      </c>
      <c r="G23" s="25">
        <v>500</v>
      </c>
      <c r="H23" s="25">
        <f t="shared" si="2"/>
        <v>32361</v>
      </c>
      <c r="I23" s="26">
        <f t="shared" si="18"/>
        <v>3.0003125803080769E-5</v>
      </c>
      <c r="J23" s="26">
        <f t="shared" si="3"/>
        <v>9.9010315150166542E-6</v>
      </c>
      <c r="K23" s="27">
        <v>34106</v>
      </c>
      <c r="L23" s="27">
        <v>37700</v>
      </c>
      <c r="M23" s="25">
        <f t="shared" si="4"/>
        <v>71806</v>
      </c>
      <c r="N23" s="28">
        <f t="shared" si="19"/>
        <v>6.8571867114440463E-5</v>
      </c>
      <c r="O23" s="29">
        <f t="shared" si="10"/>
        <v>2.2628716147765355E-5</v>
      </c>
      <c r="P23" s="27">
        <v>31340</v>
      </c>
      <c r="Q23" s="27">
        <v>13200</v>
      </c>
      <c r="R23" s="25">
        <f t="shared" si="5"/>
        <v>44540</v>
      </c>
      <c r="S23" s="30">
        <f t="shared" si="6"/>
        <v>3.5581259688194292E-5</v>
      </c>
      <c r="T23" s="30">
        <f t="shared" si="7"/>
        <v>1.209762829398606E-5</v>
      </c>
      <c r="U23" s="30">
        <f t="shared" si="11"/>
        <v>4.4627375956768069E-5</v>
      </c>
      <c r="V23" s="31">
        <f t="shared" si="8"/>
        <v>2.008231918054563E-6</v>
      </c>
      <c r="W23" s="30">
        <f t="shared" si="12"/>
        <v>7.1162519376388587E-7</v>
      </c>
      <c r="X23" s="31">
        <v>48.7793371874385</v>
      </c>
      <c r="Y23" s="32">
        <f t="shared" si="13"/>
        <v>84047.935633485569</v>
      </c>
      <c r="Z23" s="33">
        <f t="shared" si="14"/>
        <v>3.6397101846954785E-2</v>
      </c>
      <c r="AA23" s="33">
        <f t="shared" si="15"/>
        <v>9.0992754617386963E-4</v>
      </c>
      <c r="AB23" s="33">
        <f t="shared" si="16"/>
        <v>2.5471698113207547E-3</v>
      </c>
      <c r="AC23" s="34">
        <f t="shared" si="9"/>
        <v>1.4196075335385555E-2</v>
      </c>
      <c r="AD23" s="35">
        <v>1.4196075335385555E-2</v>
      </c>
      <c r="AE23" s="36">
        <f t="shared" si="17"/>
        <v>0</v>
      </c>
    </row>
    <row r="24" spans="1:31" s="2" customFormat="1" ht="16.149999999999999" customHeight="1" x14ac:dyDescent="0.2">
      <c r="A24" s="20">
        <v>20</v>
      </c>
      <c r="B24" s="39" t="s">
        <v>51</v>
      </c>
      <c r="C24" s="22">
        <v>4497</v>
      </c>
      <c r="D24" s="24">
        <f t="shared" si="0"/>
        <v>1.937612079462346E-3</v>
      </c>
      <c r="E24" s="24">
        <f t="shared" si="1"/>
        <v>1.2400717308559015E-3</v>
      </c>
      <c r="F24" s="25">
        <v>264386.34000000003</v>
      </c>
      <c r="G24" s="25">
        <v>327538.09999999998</v>
      </c>
      <c r="H24" s="25">
        <f t="shared" si="2"/>
        <v>591924.43999999994</v>
      </c>
      <c r="I24" s="26">
        <f t="shared" si="18"/>
        <v>5.4879587896659973E-4</v>
      </c>
      <c r="J24" s="26">
        <f t="shared" si="3"/>
        <v>1.8110264005897792E-4</v>
      </c>
      <c r="K24" s="27">
        <v>306826.23999999999</v>
      </c>
      <c r="L24" s="27">
        <v>312741</v>
      </c>
      <c r="M24" s="25">
        <f t="shared" si="4"/>
        <v>619567.24</v>
      </c>
      <c r="N24" s="28">
        <f t="shared" si="19"/>
        <v>5.9166201222377859E-4</v>
      </c>
      <c r="O24" s="29">
        <f t="shared" si="10"/>
        <v>1.9524846403384694E-4</v>
      </c>
      <c r="P24" s="27">
        <v>432755.16</v>
      </c>
      <c r="Q24" s="27">
        <v>296476.83</v>
      </c>
      <c r="R24" s="25">
        <f t="shared" si="5"/>
        <v>729231.99</v>
      </c>
      <c r="S24" s="30">
        <f t="shared" si="6"/>
        <v>5.8255484528802652E-4</v>
      </c>
      <c r="T24" s="30">
        <f t="shared" si="7"/>
        <v>1.9806864739792902E-4</v>
      </c>
      <c r="U24" s="30">
        <f t="shared" si="11"/>
        <v>5.7441975149075391E-4</v>
      </c>
      <c r="V24" s="31">
        <f t="shared" si="8"/>
        <v>2.5848888817083925E-5</v>
      </c>
      <c r="W24" s="30">
        <f t="shared" si="12"/>
        <v>1.165109690576053E-5</v>
      </c>
      <c r="X24" s="31">
        <v>55.688963939236402</v>
      </c>
      <c r="Y24" s="32">
        <f t="shared" si="13"/>
        <v>5183.6327664609616</v>
      </c>
      <c r="Z24" s="33">
        <f t="shared" si="14"/>
        <v>2.2447810087904627E-3</v>
      </c>
      <c r="AA24" s="33">
        <f t="shared" si="15"/>
        <v>5.6119525219761572E-5</v>
      </c>
      <c r="AB24" s="33">
        <f t="shared" si="16"/>
        <v>2.5471698113207547E-3</v>
      </c>
      <c r="AC24" s="34">
        <f t="shared" si="9"/>
        <v>3.8808610531192622E-3</v>
      </c>
      <c r="AD24" s="35">
        <v>3.8808610531192622E-3</v>
      </c>
      <c r="AE24" s="36">
        <f t="shared" si="17"/>
        <v>0</v>
      </c>
    </row>
    <row r="25" spans="1:31" s="2" customFormat="1" ht="16.149999999999999" customHeight="1" x14ac:dyDescent="0.2">
      <c r="A25" s="20">
        <v>21</v>
      </c>
      <c r="B25" s="21" t="s">
        <v>52</v>
      </c>
      <c r="C25" s="22">
        <v>9406</v>
      </c>
      <c r="D25" s="24">
        <f t="shared" si="0"/>
        <v>4.052741654307945E-3</v>
      </c>
      <c r="E25" s="24">
        <f t="shared" si="1"/>
        <v>2.5937546587570847E-3</v>
      </c>
      <c r="F25" s="25">
        <v>15078</v>
      </c>
      <c r="G25" s="25">
        <v>3800</v>
      </c>
      <c r="H25" s="25">
        <f t="shared" si="2"/>
        <v>18878</v>
      </c>
      <c r="I25" s="26">
        <f t="shared" si="18"/>
        <v>1.7502518738931394E-5</v>
      </c>
      <c r="J25" s="26">
        <f t="shared" si="3"/>
        <v>5.7758311838473599E-6</v>
      </c>
      <c r="K25" s="27">
        <v>7492</v>
      </c>
      <c r="L25" s="27">
        <v>0</v>
      </c>
      <c r="M25" s="25">
        <f t="shared" si="4"/>
        <v>7492</v>
      </c>
      <c r="N25" s="28">
        <f t="shared" si="19"/>
        <v>7.1545612960113082E-6</v>
      </c>
      <c r="O25" s="29">
        <f t="shared" si="10"/>
        <v>2.3610052276837317E-6</v>
      </c>
      <c r="P25" s="27">
        <v>37901.800000000003</v>
      </c>
      <c r="Q25" s="27">
        <v>4460</v>
      </c>
      <c r="R25" s="25">
        <f t="shared" si="5"/>
        <v>42361.8</v>
      </c>
      <c r="S25" s="30">
        <f t="shared" si="6"/>
        <v>3.3841181110447891E-5</v>
      </c>
      <c r="T25" s="30">
        <f t="shared" si="7"/>
        <v>1.1506001577552284E-5</v>
      </c>
      <c r="U25" s="30">
        <f t="shared" si="11"/>
        <v>1.9642837989083377E-5</v>
      </c>
      <c r="V25" s="31">
        <f t="shared" si="8"/>
        <v>8.8392770950875187E-7</v>
      </c>
      <c r="W25" s="30">
        <f t="shared" si="12"/>
        <v>6.7682362220895779E-7</v>
      </c>
      <c r="X25" s="31">
        <v>50.171329232292102</v>
      </c>
      <c r="Y25" s="32">
        <f t="shared" si="13"/>
        <v>18398.648286298398</v>
      </c>
      <c r="Z25" s="33">
        <f t="shared" si="14"/>
        <v>7.9675660142675096E-3</v>
      </c>
      <c r="AA25" s="33">
        <f t="shared" si="15"/>
        <v>1.9918915035668775E-4</v>
      </c>
      <c r="AB25" s="33">
        <f t="shared" si="16"/>
        <v>2.5471698113207547E-3</v>
      </c>
      <c r="AC25" s="34">
        <f t="shared" si="9"/>
        <v>5.3416743717662448E-3</v>
      </c>
      <c r="AD25" s="35">
        <v>5.3416743717662448E-3</v>
      </c>
      <c r="AE25" s="36">
        <f t="shared" si="17"/>
        <v>0</v>
      </c>
    </row>
    <row r="26" spans="1:31" s="2" customFormat="1" ht="16.149999999999999" customHeight="1" x14ac:dyDescent="0.2">
      <c r="A26" s="20">
        <v>22</v>
      </c>
      <c r="B26" s="21" t="s">
        <v>53</v>
      </c>
      <c r="C26" s="22">
        <v>4363</v>
      </c>
      <c r="D26" s="24">
        <f t="shared" si="0"/>
        <v>1.879875806692065E-3</v>
      </c>
      <c r="E26" s="24">
        <f t="shared" si="1"/>
        <v>1.2031205162829216E-3</v>
      </c>
      <c r="F26" s="25">
        <v>450</v>
      </c>
      <c r="G26" s="25">
        <v>0</v>
      </c>
      <c r="H26" s="25">
        <f t="shared" si="2"/>
        <v>450</v>
      </c>
      <c r="I26" s="26">
        <f t="shared" si="18"/>
        <v>4.1721228056569162E-7</v>
      </c>
      <c r="J26" s="26">
        <f t="shared" si="3"/>
        <v>1.3768005258667824E-7</v>
      </c>
      <c r="K26" s="27">
        <v>496</v>
      </c>
      <c r="L26" s="27">
        <v>0</v>
      </c>
      <c r="M26" s="25">
        <f t="shared" si="4"/>
        <v>496</v>
      </c>
      <c r="N26" s="28">
        <f t="shared" si="19"/>
        <v>4.7366022461580469E-7</v>
      </c>
      <c r="O26" s="29">
        <f t="shared" si="10"/>
        <v>1.5630787412321555E-7</v>
      </c>
      <c r="P26" s="27">
        <v>496</v>
      </c>
      <c r="Q26" s="27">
        <v>0</v>
      </c>
      <c r="R26" s="25">
        <f t="shared" si="5"/>
        <v>496</v>
      </c>
      <c r="S26" s="30">
        <f t="shared" si="6"/>
        <v>3.9623495297135987E-7</v>
      </c>
      <c r="T26" s="30">
        <f t="shared" si="7"/>
        <v>1.3471988401026237E-7</v>
      </c>
      <c r="U26" s="30">
        <f t="shared" si="11"/>
        <v>4.2870781072015612E-7</v>
      </c>
      <c r="V26" s="31">
        <f t="shared" si="8"/>
        <v>1.9291851482407025E-8</v>
      </c>
      <c r="W26" s="30">
        <f t="shared" si="12"/>
        <v>7.9246990594271978E-9</v>
      </c>
      <c r="X26" s="31">
        <v>49.088945837836199</v>
      </c>
      <c r="Y26" s="32">
        <f t="shared" si="13"/>
        <v>9221.8527074662015</v>
      </c>
      <c r="Z26" s="33">
        <f t="shared" si="14"/>
        <v>3.9935390403275667E-3</v>
      </c>
      <c r="AA26" s="33">
        <f t="shared" si="15"/>
        <v>9.983847600818918E-5</v>
      </c>
      <c r="AB26" s="33">
        <f t="shared" si="16"/>
        <v>2.5471698113207547E-3</v>
      </c>
      <c r="AC26" s="34">
        <f t="shared" si="9"/>
        <v>3.8501560201624073E-3</v>
      </c>
      <c r="AD26" s="35">
        <v>3.8501560201624073E-3</v>
      </c>
      <c r="AE26" s="36">
        <f t="shared" si="17"/>
        <v>0</v>
      </c>
    </row>
    <row r="27" spans="1:31" s="2" customFormat="1" ht="16.149999999999999" customHeight="1" x14ac:dyDescent="0.2">
      <c r="A27" s="20">
        <v>23</v>
      </c>
      <c r="B27" s="21" t="s">
        <v>54</v>
      </c>
      <c r="C27" s="22">
        <v>4863</v>
      </c>
      <c r="D27" s="24">
        <f t="shared" si="0"/>
        <v>2.095309660312517E-3</v>
      </c>
      <c r="E27" s="24">
        <f t="shared" si="1"/>
        <v>1.3409981826000108E-3</v>
      </c>
      <c r="F27" s="25">
        <v>105261.8</v>
      </c>
      <c r="G27" s="25">
        <v>16020</v>
      </c>
      <c r="H27" s="25">
        <f t="shared" si="2"/>
        <v>121281.8</v>
      </c>
      <c r="I27" s="26">
        <f t="shared" si="18"/>
        <v>1.1244501415358245E-4</v>
      </c>
      <c r="J27" s="26">
        <f t="shared" si="3"/>
        <v>3.7106854670682208E-5</v>
      </c>
      <c r="K27" s="27">
        <v>67210.59</v>
      </c>
      <c r="L27" s="27">
        <v>5350</v>
      </c>
      <c r="M27" s="25">
        <f t="shared" si="4"/>
        <v>72560.59</v>
      </c>
      <c r="N27" s="28">
        <f t="shared" si="19"/>
        <v>6.9292470479143762E-5</v>
      </c>
      <c r="O27" s="29">
        <f t="shared" si="10"/>
        <v>2.2866515258117444E-5</v>
      </c>
      <c r="P27" s="27">
        <v>59091.25</v>
      </c>
      <c r="Q27" s="27">
        <v>3735</v>
      </c>
      <c r="R27" s="25">
        <f t="shared" si="5"/>
        <v>62826.25</v>
      </c>
      <c r="S27" s="30">
        <f t="shared" si="6"/>
        <v>5.0189427851042135E-5</v>
      </c>
      <c r="T27" s="30">
        <f t="shared" si="7"/>
        <v>1.7064405469354328E-5</v>
      </c>
      <c r="U27" s="30">
        <f t="shared" si="11"/>
        <v>7.7037775398153984E-5</v>
      </c>
      <c r="V27" s="31">
        <f t="shared" si="8"/>
        <v>3.4666998929169291E-6</v>
      </c>
      <c r="W27" s="30">
        <f t="shared" si="12"/>
        <v>1.0037885570208426E-6</v>
      </c>
      <c r="X27" s="31">
        <v>54.827067853042699</v>
      </c>
      <c r="Y27" s="32">
        <f t="shared" si="13"/>
        <v>6215.7840908631242</v>
      </c>
      <c r="Z27" s="33">
        <f t="shared" si="14"/>
        <v>2.6917558998759204E-3</v>
      </c>
      <c r="AA27" s="33">
        <f t="shared" si="15"/>
        <v>6.7293897496898016E-5</v>
      </c>
      <c r="AB27" s="33">
        <f t="shared" si="16"/>
        <v>2.5471698113207547E-3</v>
      </c>
      <c r="AC27" s="34">
        <f t="shared" si="9"/>
        <v>3.9599323798676011E-3</v>
      </c>
      <c r="AD27" s="35">
        <v>3.9599323798676011E-3</v>
      </c>
      <c r="AE27" s="36">
        <f t="shared" si="17"/>
        <v>0</v>
      </c>
    </row>
    <row r="28" spans="1:31" s="2" customFormat="1" ht="16.149999999999999" customHeight="1" x14ac:dyDescent="0.2">
      <c r="A28" s="20">
        <v>24</v>
      </c>
      <c r="B28" s="21" t="s">
        <v>55</v>
      </c>
      <c r="C28" s="22">
        <v>3244</v>
      </c>
      <c r="D28" s="24">
        <f t="shared" si="0"/>
        <v>1.397734842289493E-3</v>
      </c>
      <c r="E28" s="24">
        <f t="shared" si="1"/>
        <v>8.9455029906527551E-4</v>
      </c>
      <c r="F28" s="25">
        <v>1150</v>
      </c>
      <c r="G28" s="25">
        <v>0</v>
      </c>
      <c r="H28" s="25">
        <f t="shared" si="2"/>
        <v>1150</v>
      </c>
      <c r="I28" s="26">
        <f t="shared" si="18"/>
        <v>1.0662091614456564E-6</v>
      </c>
      <c r="J28" s="26">
        <f t="shared" si="3"/>
        <v>3.5184902327706661E-7</v>
      </c>
      <c r="K28" s="27">
        <v>5750</v>
      </c>
      <c r="L28" s="27">
        <v>0</v>
      </c>
      <c r="M28" s="25">
        <f t="shared" si="4"/>
        <v>5750</v>
      </c>
      <c r="N28" s="28">
        <f t="shared" si="19"/>
        <v>5.4910207490743485E-6</v>
      </c>
      <c r="O28" s="29">
        <f t="shared" si="10"/>
        <v>1.812036847194535E-6</v>
      </c>
      <c r="P28" s="27">
        <v>3900</v>
      </c>
      <c r="Q28" s="27">
        <v>0</v>
      </c>
      <c r="R28" s="25">
        <f t="shared" si="5"/>
        <v>3900</v>
      </c>
      <c r="S28" s="30">
        <f t="shared" si="6"/>
        <v>3.1155570898957733E-6</v>
      </c>
      <c r="T28" s="30">
        <f t="shared" si="7"/>
        <v>1.059289410564563E-6</v>
      </c>
      <c r="U28" s="30">
        <f t="shared" si="11"/>
        <v>3.2231752810361644E-6</v>
      </c>
      <c r="V28" s="31">
        <f t="shared" si="8"/>
        <v>1.4504288764662738E-7</v>
      </c>
      <c r="W28" s="30">
        <f t="shared" si="12"/>
        <v>6.2311141797915469E-8</v>
      </c>
      <c r="X28" s="31">
        <v>51.226445609730597</v>
      </c>
      <c r="Y28" s="32">
        <f t="shared" si="13"/>
        <v>5847.0813603601373</v>
      </c>
      <c r="Z28" s="33">
        <f t="shared" si="14"/>
        <v>2.5320885537094668E-3</v>
      </c>
      <c r="AA28" s="33">
        <f t="shared" si="15"/>
        <v>6.3302213842736675E-5</v>
      </c>
      <c r="AB28" s="33">
        <f t="shared" si="16"/>
        <v>2.5471698113207547E-3</v>
      </c>
      <c r="AC28" s="34">
        <f t="shared" si="9"/>
        <v>3.5052296782582112E-3</v>
      </c>
      <c r="AD28" s="35">
        <v>3.5052296782582112E-3</v>
      </c>
      <c r="AE28" s="36">
        <f t="shared" si="17"/>
        <v>0</v>
      </c>
    </row>
    <row r="29" spans="1:31" s="2" customFormat="1" ht="16.149999999999999" customHeight="1" x14ac:dyDescent="0.2">
      <c r="A29" s="20">
        <v>25</v>
      </c>
      <c r="B29" s="21" t="s">
        <v>56</v>
      </c>
      <c r="C29" s="22">
        <v>6003</v>
      </c>
      <c r="D29" s="24">
        <f t="shared" si="0"/>
        <v>2.5864988465671476E-3</v>
      </c>
      <c r="E29" s="24">
        <f t="shared" si="1"/>
        <v>1.6553592618029744E-3</v>
      </c>
      <c r="F29" s="25">
        <v>7190</v>
      </c>
      <c r="G29" s="25">
        <v>14311</v>
      </c>
      <c r="H29" s="25">
        <f t="shared" si="2"/>
        <v>21501</v>
      </c>
      <c r="I29" s="26">
        <f t="shared" si="18"/>
        <v>1.9934402765428745E-5</v>
      </c>
      <c r="J29" s="26">
        <f t="shared" si="3"/>
        <v>6.5783529125914863E-6</v>
      </c>
      <c r="K29" s="27">
        <v>8330</v>
      </c>
      <c r="L29" s="27">
        <v>7310</v>
      </c>
      <c r="M29" s="25">
        <f t="shared" si="4"/>
        <v>15640</v>
      </c>
      <c r="N29" s="28">
        <f t="shared" si="19"/>
        <v>1.4935576437482228E-5</v>
      </c>
      <c r="O29" s="29">
        <f t="shared" si="10"/>
        <v>4.9287402243691354E-6</v>
      </c>
      <c r="P29" s="27">
        <v>10850.04</v>
      </c>
      <c r="Q29" s="27">
        <v>2760</v>
      </c>
      <c r="R29" s="25">
        <f t="shared" si="5"/>
        <v>13610.04</v>
      </c>
      <c r="S29" s="30">
        <f t="shared" si="6"/>
        <v>1.0872527337375659E-5</v>
      </c>
      <c r="T29" s="30">
        <f t="shared" si="7"/>
        <v>3.6966592947077245E-6</v>
      </c>
      <c r="U29" s="30">
        <f t="shared" si="11"/>
        <v>1.5203752431668346E-5</v>
      </c>
      <c r="V29" s="31">
        <f t="shared" si="8"/>
        <v>6.841688594250756E-7</v>
      </c>
      <c r="W29" s="30">
        <f t="shared" si="12"/>
        <v>2.1745054674751319E-7</v>
      </c>
      <c r="X29" s="31">
        <v>54.958322962571401</v>
      </c>
      <c r="Y29" s="32">
        <f t="shared" si="13"/>
        <v>7558.1862644275643</v>
      </c>
      <c r="Z29" s="33">
        <f t="shared" si="14"/>
        <v>3.2730854502394662E-3</v>
      </c>
      <c r="AA29" s="33">
        <f t="shared" si="15"/>
        <v>8.1827136255986665E-5</v>
      </c>
      <c r="AB29" s="33">
        <f t="shared" si="16"/>
        <v>2.5471698113207547E-3</v>
      </c>
      <c r="AC29" s="34">
        <f t="shared" si="9"/>
        <v>4.2852578287858878E-3</v>
      </c>
      <c r="AD29" s="35">
        <v>4.2852578287858878E-3</v>
      </c>
      <c r="AE29" s="36">
        <f t="shared" si="17"/>
        <v>0</v>
      </c>
    </row>
    <row r="30" spans="1:31" s="2" customFormat="1" ht="16.149999999999999" customHeight="1" x14ac:dyDescent="0.2">
      <c r="A30" s="20">
        <v>26</v>
      </c>
      <c r="B30" s="39" t="s">
        <v>57</v>
      </c>
      <c r="C30" s="22">
        <v>3622</v>
      </c>
      <c r="D30" s="24">
        <f t="shared" si="0"/>
        <v>1.5606028356265548E-3</v>
      </c>
      <c r="E30" s="24">
        <f t="shared" si="1"/>
        <v>9.987858148009952E-4</v>
      </c>
      <c r="F30" s="25">
        <v>1195367.3999999999</v>
      </c>
      <c r="G30" s="25">
        <v>0</v>
      </c>
      <c r="H30" s="25">
        <f t="shared" si="2"/>
        <v>1195367.3999999999</v>
      </c>
      <c r="I30" s="26">
        <f t="shared" si="18"/>
        <v>1.1082710201508472E-3</v>
      </c>
      <c r="J30" s="26">
        <f t="shared" si="3"/>
        <v>3.6572943664977961E-4</v>
      </c>
      <c r="K30" s="27">
        <v>1511205.98</v>
      </c>
      <c r="L30" s="27">
        <v>0</v>
      </c>
      <c r="M30" s="25">
        <f t="shared" si="4"/>
        <v>1511205.98</v>
      </c>
      <c r="N30" s="28">
        <f t="shared" si="19"/>
        <v>1.4431414595313453E-3</v>
      </c>
      <c r="O30" s="29">
        <f t="shared" si="10"/>
        <v>4.7623668164534396E-4</v>
      </c>
      <c r="P30" s="27">
        <v>4932175.8899999997</v>
      </c>
      <c r="Q30" s="27">
        <v>0</v>
      </c>
      <c r="R30" s="25">
        <f t="shared" si="5"/>
        <v>4932175.8899999997</v>
      </c>
      <c r="S30" s="30">
        <f t="shared" si="6"/>
        <v>3.9401219391544855E-3</v>
      </c>
      <c r="T30" s="30">
        <f t="shared" si="7"/>
        <v>1.3396414593125252E-3</v>
      </c>
      <c r="U30" s="30">
        <f t="shared" si="11"/>
        <v>2.1816075776076487E-3</v>
      </c>
      <c r="V30" s="31">
        <f t="shared" si="8"/>
        <v>9.8172340992344192E-5</v>
      </c>
      <c r="W30" s="30">
        <f t="shared" si="12"/>
        <v>7.8802438783089705E-5</v>
      </c>
      <c r="X30" s="31">
        <v>55.088869679474499</v>
      </c>
      <c r="Y30" s="32">
        <f t="shared" si="13"/>
        <v>4491.4994014493486</v>
      </c>
      <c r="Z30" s="33">
        <f t="shared" si="14"/>
        <v>1.9450514748271489E-3</v>
      </c>
      <c r="AA30" s="33">
        <f t="shared" si="15"/>
        <v>4.8626286870678726E-5</v>
      </c>
      <c r="AB30" s="33">
        <f t="shared" si="16"/>
        <v>2.5471698113207547E-3</v>
      </c>
      <c r="AC30" s="34">
        <f t="shared" si="9"/>
        <v>3.7715566927678627E-3</v>
      </c>
      <c r="AD30" s="35">
        <v>3.7715566927678627E-3</v>
      </c>
      <c r="AE30" s="36">
        <f t="shared" si="17"/>
        <v>0</v>
      </c>
    </row>
    <row r="31" spans="1:31" s="2" customFormat="1" ht="16.149999999999999" customHeight="1" x14ac:dyDescent="0.2">
      <c r="A31" s="20">
        <v>27</v>
      </c>
      <c r="B31" s="21" t="s">
        <v>58</v>
      </c>
      <c r="C31" s="22">
        <v>8345</v>
      </c>
      <c r="D31" s="24">
        <f t="shared" si="0"/>
        <v>3.5955910169253452E-3</v>
      </c>
      <c r="E31" s="24">
        <f t="shared" si="1"/>
        <v>2.301178250832221E-3</v>
      </c>
      <c r="F31" s="25">
        <v>1112505</v>
      </c>
      <c r="G31" s="25">
        <v>7333</v>
      </c>
      <c r="H31" s="25">
        <f t="shared" si="2"/>
        <v>1119838</v>
      </c>
      <c r="I31" s="26">
        <f t="shared" si="18"/>
        <v>1.0382448129869399E-3</v>
      </c>
      <c r="J31" s="26">
        <f t="shared" si="3"/>
        <v>3.4262078828569022E-4</v>
      </c>
      <c r="K31" s="27">
        <v>909097.5</v>
      </c>
      <c r="L31" s="27">
        <v>38700</v>
      </c>
      <c r="M31" s="25">
        <f t="shared" si="4"/>
        <v>947797.5</v>
      </c>
      <c r="N31" s="28">
        <f t="shared" si="19"/>
        <v>9.0510882407318172E-4</v>
      </c>
      <c r="O31" s="29">
        <f t="shared" si="10"/>
        <v>2.9868591194415E-4</v>
      </c>
      <c r="P31" s="27">
        <v>1365392.4</v>
      </c>
      <c r="Q31" s="27">
        <v>19050</v>
      </c>
      <c r="R31" s="25">
        <f t="shared" si="5"/>
        <v>1384442.4</v>
      </c>
      <c r="S31" s="30">
        <f t="shared" si="6"/>
        <v>1.1059767525313641E-3</v>
      </c>
      <c r="T31" s="30">
        <f t="shared" si="7"/>
        <v>3.760320958606638E-4</v>
      </c>
      <c r="U31" s="30">
        <f t="shared" si="11"/>
        <v>1.0173387960905039E-3</v>
      </c>
      <c r="V31" s="31">
        <f t="shared" si="8"/>
        <v>4.5780245824072671E-5</v>
      </c>
      <c r="W31" s="30">
        <f t="shared" si="12"/>
        <v>2.2119535050627281E-5</v>
      </c>
      <c r="X31" s="31">
        <v>56.710971441663801</v>
      </c>
      <c r="Y31" s="32">
        <f t="shared" si="13"/>
        <v>8377.3999472923424</v>
      </c>
      <c r="Z31" s="33">
        <f t="shared" si="14"/>
        <v>3.6278473325499798E-3</v>
      </c>
      <c r="AA31" s="33">
        <f t="shared" si="15"/>
        <v>9.0696183313749502E-5</v>
      </c>
      <c r="AB31" s="33">
        <f t="shared" si="16"/>
        <v>2.5471698113207547E-3</v>
      </c>
      <c r="AC31" s="34">
        <f t="shared" si="9"/>
        <v>5.0069440263414249E-3</v>
      </c>
      <c r="AD31" s="35">
        <v>5.0069440263414249E-3</v>
      </c>
      <c r="AE31" s="36">
        <f t="shared" si="17"/>
        <v>0</v>
      </c>
    </row>
    <row r="32" spans="1:31" s="2" customFormat="1" ht="16.149999999999999" customHeight="1" x14ac:dyDescent="0.2">
      <c r="A32" s="20">
        <v>28</v>
      </c>
      <c r="B32" s="21" t="s">
        <v>59</v>
      </c>
      <c r="C32" s="22">
        <v>2936</v>
      </c>
      <c r="D32" s="24">
        <f t="shared" si="0"/>
        <v>1.2650275884592947E-3</v>
      </c>
      <c r="E32" s="24">
        <f t="shared" si="1"/>
        <v>8.0961765661394865E-4</v>
      </c>
      <c r="F32" s="25">
        <v>85247.5</v>
      </c>
      <c r="G32" s="25">
        <v>3030</v>
      </c>
      <c r="H32" s="25">
        <f t="shared" si="2"/>
        <v>88277.5</v>
      </c>
      <c r="I32" s="26">
        <f t="shared" si="18"/>
        <v>8.1845460216972983E-5</v>
      </c>
      <c r="J32" s="26">
        <f t="shared" si="3"/>
        <v>2.7009001871601085E-5</v>
      </c>
      <c r="K32" s="27">
        <v>0</v>
      </c>
      <c r="L32" s="27">
        <v>0</v>
      </c>
      <c r="M32" s="25">
        <f t="shared" si="4"/>
        <v>0</v>
      </c>
      <c r="N32" s="28">
        <f t="shared" si="19"/>
        <v>0</v>
      </c>
      <c r="O32" s="29">
        <f t="shared" si="10"/>
        <v>0</v>
      </c>
      <c r="P32" s="27">
        <v>0</v>
      </c>
      <c r="Q32" s="27">
        <v>5885.5</v>
      </c>
      <c r="R32" s="25">
        <f t="shared" si="5"/>
        <v>5885.5</v>
      </c>
      <c r="S32" s="30">
        <f t="shared" si="6"/>
        <v>4.7016951929696339E-6</v>
      </c>
      <c r="T32" s="30">
        <f t="shared" si="7"/>
        <v>1.5985763656096756E-6</v>
      </c>
      <c r="U32" s="30">
        <f t="shared" si="11"/>
        <v>2.860757823721076E-5</v>
      </c>
      <c r="V32" s="31">
        <f t="shared" si="8"/>
        <v>1.2873410206744842E-6</v>
      </c>
      <c r="W32" s="30">
        <f t="shared" si="12"/>
        <v>9.4033903859392679E-8</v>
      </c>
      <c r="X32" s="31">
        <v>54.903949457612498</v>
      </c>
      <c r="Y32" s="32">
        <f t="shared" si="13"/>
        <v>3719.8678395406741</v>
      </c>
      <c r="Z32" s="33">
        <f t="shared" si="14"/>
        <v>1.6108951111350298E-3</v>
      </c>
      <c r="AA32" s="33">
        <f t="shared" si="15"/>
        <v>4.0272377778375744E-5</v>
      </c>
      <c r="AB32" s="33">
        <f t="shared" si="16"/>
        <v>2.5471698113207547E-3</v>
      </c>
      <c r="AC32" s="34">
        <f t="shared" si="9"/>
        <v>3.3984412206376127E-3</v>
      </c>
      <c r="AD32" s="35">
        <v>3.3984412206376127E-3</v>
      </c>
      <c r="AE32" s="36">
        <f t="shared" si="17"/>
        <v>0</v>
      </c>
    </row>
    <row r="33" spans="1:31" s="2" customFormat="1" ht="16.149999999999999" customHeight="1" x14ac:dyDescent="0.2">
      <c r="A33" s="20">
        <v>29</v>
      </c>
      <c r="B33" s="21" t="s">
        <v>60</v>
      </c>
      <c r="C33" s="22">
        <v>6240</v>
      </c>
      <c r="D33" s="24">
        <f t="shared" si="0"/>
        <v>2.6886144931832418E-3</v>
      </c>
      <c r="E33" s="24">
        <f t="shared" si="1"/>
        <v>1.7207132756372747E-3</v>
      </c>
      <c r="F33" s="25">
        <v>0</v>
      </c>
      <c r="G33" s="25">
        <v>0</v>
      </c>
      <c r="H33" s="25">
        <f t="shared" si="2"/>
        <v>0</v>
      </c>
      <c r="I33" s="26">
        <f t="shared" si="18"/>
        <v>0</v>
      </c>
      <c r="J33" s="26">
        <f t="shared" si="3"/>
        <v>0</v>
      </c>
      <c r="K33" s="27">
        <v>0</v>
      </c>
      <c r="L33" s="27">
        <v>0</v>
      </c>
      <c r="M33" s="25">
        <f t="shared" si="4"/>
        <v>0</v>
      </c>
      <c r="N33" s="28">
        <f t="shared" si="19"/>
        <v>0</v>
      </c>
      <c r="O33" s="29">
        <f t="shared" si="10"/>
        <v>0</v>
      </c>
      <c r="P33" s="27">
        <v>0</v>
      </c>
      <c r="Q33" s="27">
        <v>0</v>
      </c>
      <c r="R33" s="25">
        <f t="shared" si="5"/>
        <v>0</v>
      </c>
      <c r="S33" s="30">
        <f t="shared" si="6"/>
        <v>0</v>
      </c>
      <c r="T33" s="30">
        <f t="shared" si="7"/>
        <v>0</v>
      </c>
      <c r="U33" s="30">
        <f t="shared" si="11"/>
        <v>0</v>
      </c>
      <c r="V33" s="31">
        <f t="shared" si="8"/>
        <v>0</v>
      </c>
      <c r="W33" s="30">
        <f t="shared" si="12"/>
        <v>0</v>
      </c>
      <c r="X33" s="31">
        <v>55.462182976939197</v>
      </c>
      <c r="Y33" s="32">
        <f t="shared" si="13"/>
        <v>7398.8064293997486</v>
      </c>
      <c r="Z33" s="33">
        <f t="shared" si="14"/>
        <v>3.2040657409017495E-3</v>
      </c>
      <c r="AA33" s="33">
        <f t="shared" si="15"/>
        <v>8.0101643522543749E-5</v>
      </c>
      <c r="AB33" s="33">
        <f t="shared" si="16"/>
        <v>2.5471698113207547E-3</v>
      </c>
      <c r="AC33" s="34">
        <f t="shared" si="9"/>
        <v>4.3479847304805728E-3</v>
      </c>
      <c r="AD33" s="35">
        <v>4.3479847304805728E-3</v>
      </c>
      <c r="AE33" s="36">
        <f t="shared" si="17"/>
        <v>0</v>
      </c>
    </row>
    <row r="34" spans="1:31" s="2" customFormat="1" ht="16.149999999999999" customHeight="1" x14ac:dyDescent="0.2">
      <c r="A34" s="20">
        <v>30</v>
      </c>
      <c r="B34" s="21" t="s">
        <v>61</v>
      </c>
      <c r="C34" s="22">
        <v>4015</v>
      </c>
      <c r="D34" s="24">
        <f t="shared" si="0"/>
        <v>1.7299338445722302E-3</v>
      </c>
      <c r="E34" s="24">
        <f t="shared" si="1"/>
        <v>1.1071576605262274E-3</v>
      </c>
      <c r="F34" s="25">
        <v>19020</v>
      </c>
      <c r="G34" s="25">
        <v>7915</v>
      </c>
      <c r="H34" s="25">
        <f t="shared" si="2"/>
        <v>26935</v>
      </c>
      <c r="I34" s="26">
        <f t="shared" si="18"/>
        <v>2.4972472837859786E-5</v>
      </c>
      <c r="J34" s="26">
        <f t="shared" si="3"/>
        <v>8.2409160364937299E-6</v>
      </c>
      <c r="K34" s="27">
        <v>0</v>
      </c>
      <c r="L34" s="27">
        <v>0</v>
      </c>
      <c r="M34" s="25">
        <f t="shared" si="4"/>
        <v>0</v>
      </c>
      <c r="N34" s="28">
        <f t="shared" si="19"/>
        <v>0</v>
      </c>
      <c r="O34" s="29">
        <f t="shared" si="10"/>
        <v>0</v>
      </c>
      <c r="P34" s="27">
        <v>3000</v>
      </c>
      <c r="Q34" s="27">
        <v>1230</v>
      </c>
      <c r="R34" s="25">
        <f t="shared" si="5"/>
        <v>4230</v>
      </c>
      <c r="S34" s="30">
        <f t="shared" si="6"/>
        <v>3.3791811513484923E-6</v>
      </c>
      <c r="T34" s="30">
        <f t="shared" si="7"/>
        <v>1.1489215914584875E-6</v>
      </c>
      <c r="U34" s="30">
        <f t="shared" si="11"/>
        <v>9.389837627952218E-6</v>
      </c>
      <c r="V34" s="31">
        <f t="shared" si="8"/>
        <v>4.225426932578498E-7</v>
      </c>
      <c r="W34" s="30">
        <f t="shared" si="12"/>
        <v>6.7583623026969847E-8</v>
      </c>
      <c r="X34" s="31">
        <v>49.2620186668522</v>
      </c>
      <c r="Y34" s="32">
        <f t="shared" si="13"/>
        <v>8385.1270796568715</v>
      </c>
      <c r="Z34" s="33">
        <f t="shared" si="14"/>
        <v>3.6311935803969597E-3</v>
      </c>
      <c r="AA34" s="33">
        <f t="shared" si="15"/>
        <v>9.0779839509924E-5</v>
      </c>
      <c r="AB34" s="33">
        <f t="shared" si="16"/>
        <v>2.5471698113207547E-3</v>
      </c>
      <c r="AC34" s="34">
        <f t="shared" si="9"/>
        <v>3.7455974376731909E-3</v>
      </c>
      <c r="AD34" s="35">
        <v>3.7455974376731909E-3</v>
      </c>
      <c r="AE34" s="36">
        <f t="shared" si="17"/>
        <v>0</v>
      </c>
    </row>
    <row r="35" spans="1:31" s="2" customFormat="1" ht="16.149999999999999" customHeight="1" x14ac:dyDescent="0.2">
      <c r="A35" s="20">
        <v>31</v>
      </c>
      <c r="B35" s="39" t="s">
        <v>62</v>
      </c>
      <c r="C35" s="22">
        <v>2818</v>
      </c>
      <c r="D35" s="24">
        <f t="shared" si="0"/>
        <v>1.2141851990048679E-3</v>
      </c>
      <c r="E35" s="24">
        <f t="shared" si="1"/>
        <v>7.7707852736311547E-4</v>
      </c>
      <c r="F35" s="25">
        <v>13067.74</v>
      </c>
      <c r="G35" s="25">
        <v>0</v>
      </c>
      <c r="H35" s="25">
        <f t="shared" si="2"/>
        <v>13067.74</v>
      </c>
      <c r="I35" s="26">
        <f t="shared" si="18"/>
        <v>1.2115603571643357E-5</v>
      </c>
      <c r="J35" s="26">
        <f t="shared" si="3"/>
        <v>3.9981491786423078E-6</v>
      </c>
      <c r="K35" s="27">
        <v>6840</v>
      </c>
      <c r="L35" s="27">
        <v>0</v>
      </c>
      <c r="M35" s="25">
        <f t="shared" si="4"/>
        <v>6840</v>
      </c>
      <c r="N35" s="28">
        <f t="shared" si="19"/>
        <v>6.5319272910727907E-6</v>
      </c>
      <c r="O35" s="29">
        <f t="shared" si="10"/>
        <v>2.1555360060540211E-6</v>
      </c>
      <c r="P35" s="27">
        <v>12800</v>
      </c>
      <c r="Q35" s="27">
        <v>0</v>
      </c>
      <c r="R35" s="25">
        <f t="shared" si="5"/>
        <v>12800</v>
      </c>
      <c r="S35" s="30">
        <f t="shared" si="6"/>
        <v>1.0225418141196384E-5</v>
      </c>
      <c r="T35" s="30">
        <f t="shared" si="7"/>
        <v>3.4766421680067707E-6</v>
      </c>
      <c r="U35" s="30">
        <f t="shared" si="11"/>
        <v>9.6303273527031001E-6</v>
      </c>
      <c r="V35" s="31">
        <f t="shared" si="8"/>
        <v>4.3336473087163948E-7</v>
      </c>
      <c r="W35" s="30">
        <f t="shared" si="12"/>
        <v>2.0450836282392767E-7</v>
      </c>
      <c r="X35" s="31">
        <v>51.262294036781803</v>
      </c>
      <c r="Y35" s="32">
        <f t="shared" si="13"/>
        <v>5064.537746873194</v>
      </c>
      <c r="Z35" s="33">
        <f t="shared" si="14"/>
        <v>2.1932067074738452E-3</v>
      </c>
      <c r="AA35" s="33">
        <f t="shared" si="15"/>
        <v>5.4830167686846134E-5</v>
      </c>
      <c r="AB35" s="33">
        <f t="shared" si="16"/>
        <v>2.5471698113207547E-3</v>
      </c>
      <c r="AC35" s="34">
        <f t="shared" si="9"/>
        <v>3.3797163794644118E-3</v>
      </c>
      <c r="AD35" s="35">
        <v>3.3797163794644118E-3</v>
      </c>
      <c r="AE35" s="36">
        <f t="shared" si="17"/>
        <v>0</v>
      </c>
    </row>
    <row r="36" spans="1:31" s="2" customFormat="1" ht="16.149999999999999" customHeight="1" x14ac:dyDescent="0.2">
      <c r="A36" s="20">
        <v>32</v>
      </c>
      <c r="B36" s="21" t="s">
        <v>63</v>
      </c>
      <c r="C36" s="22">
        <v>16779</v>
      </c>
      <c r="D36" s="24">
        <f t="shared" si="0"/>
        <v>7.2295292597951309E-3</v>
      </c>
      <c r="E36" s="24">
        <f t="shared" si="1"/>
        <v>4.6268987262688835E-3</v>
      </c>
      <c r="F36" s="25">
        <v>168428.5</v>
      </c>
      <c r="G36" s="25">
        <v>177493</v>
      </c>
      <c r="H36" s="25">
        <f t="shared" si="2"/>
        <v>345921.5</v>
      </c>
      <c r="I36" s="26">
        <f t="shared" si="18"/>
        <v>3.2071710647045532E-4</v>
      </c>
      <c r="J36" s="26">
        <f t="shared" si="3"/>
        <v>1.0583664513525026E-4</v>
      </c>
      <c r="K36" s="27">
        <v>135857.4</v>
      </c>
      <c r="L36" s="27">
        <v>71962</v>
      </c>
      <c r="M36" s="25">
        <f t="shared" si="4"/>
        <v>207819.4</v>
      </c>
      <c r="N36" s="28">
        <f t="shared" si="19"/>
        <v>1.9845924129742288E-4</v>
      </c>
      <c r="O36" s="29">
        <f t="shared" si="10"/>
        <v>6.5491549628149553E-5</v>
      </c>
      <c r="P36" s="27">
        <v>186130.5</v>
      </c>
      <c r="Q36" s="27">
        <v>93836</v>
      </c>
      <c r="R36" s="25">
        <f t="shared" si="5"/>
        <v>279966.5</v>
      </c>
      <c r="S36" s="30">
        <f t="shared" si="6"/>
        <v>2.236542600021295E-4</v>
      </c>
      <c r="T36" s="30">
        <f t="shared" si="7"/>
        <v>7.6042448400724037E-5</v>
      </c>
      <c r="U36" s="30">
        <f t="shared" si="11"/>
        <v>2.4737064316412386E-4</v>
      </c>
      <c r="V36" s="31">
        <f t="shared" si="8"/>
        <v>1.1131678942385572E-5</v>
      </c>
      <c r="W36" s="30">
        <f t="shared" si="12"/>
        <v>4.4730852000425898E-6</v>
      </c>
      <c r="X36" s="31">
        <v>52.251815023813997</v>
      </c>
      <c r="Y36" s="32">
        <f t="shared" si="13"/>
        <v>27737.964456165846</v>
      </c>
      <c r="Z36" s="33">
        <f t="shared" si="14"/>
        <v>1.2011972807289894E-2</v>
      </c>
      <c r="AA36" s="33">
        <f t="shared" si="15"/>
        <v>3.0029932018224738E-4</v>
      </c>
      <c r="AB36" s="33">
        <f t="shared" si="16"/>
        <v>2.5471698113207547E-3</v>
      </c>
      <c r="AC36" s="34">
        <f t="shared" si="9"/>
        <v>7.4899726219143144E-3</v>
      </c>
      <c r="AD36" s="35">
        <v>7.4899726219143144E-3</v>
      </c>
      <c r="AE36" s="36">
        <f t="shared" si="17"/>
        <v>0</v>
      </c>
    </row>
    <row r="37" spans="1:31" s="2" customFormat="1" ht="16.149999999999999" customHeight="1" x14ac:dyDescent="0.2">
      <c r="A37" s="20">
        <v>33</v>
      </c>
      <c r="B37" s="21" t="s">
        <v>64</v>
      </c>
      <c r="C37" s="22">
        <v>21255</v>
      </c>
      <c r="D37" s="24">
        <f t="shared" si="0"/>
        <v>9.1580931174054178E-3</v>
      </c>
      <c r="E37" s="24">
        <f t="shared" si="1"/>
        <v>5.8611795951394674E-3</v>
      </c>
      <c r="F37" s="25">
        <v>73390</v>
      </c>
      <c r="G37" s="25">
        <v>80537</v>
      </c>
      <c r="H37" s="25">
        <f t="shared" si="2"/>
        <v>153927</v>
      </c>
      <c r="I37" s="26">
        <f t="shared" si="18"/>
        <v>1.4271163269030047E-4</v>
      </c>
      <c r="J37" s="26">
        <f t="shared" si="3"/>
        <v>4.709483878779916E-5</v>
      </c>
      <c r="K37" s="27">
        <v>48503</v>
      </c>
      <c r="L37" s="27">
        <v>141588</v>
      </c>
      <c r="M37" s="25">
        <f t="shared" si="4"/>
        <v>190091</v>
      </c>
      <c r="N37" s="28">
        <f t="shared" si="19"/>
        <v>1.8152932612387686E-4</v>
      </c>
      <c r="O37" s="29">
        <f t="shared" si="10"/>
        <v>5.9904677620879365E-5</v>
      </c>
      <c r="P37" s="27">
        <v>91988</v>
      </c>
      <c r="Q37" s="27">
        <v>120669</v>
      </c>
      <c r="R37" s="25">
        <f t="shared" si="5"/>
        <v>212657</v>
      </c>
      <c r="S37" s="30">
        <f t="shared" si="6"/>
        <v>1.6988333950409372E-4</v>
      </c>
      <c r="T37" s="30">
        <f t="shared" si="7"/>
        <v>5.7760335431391866E-5</v>
      </c>
      <c r="U37" s="30">
        <f t="shared" si="11"/>
        <v>1.6475985184007038E-4</v>
      </c>
      <c r="V37" s="31">
        <f t="shared" si="8"/>
        <v>7.4141933328031669E-6</v>
      </c>
      <c r="W37" s="30">
        <f t="shared" si="12"/>
        <v>3.3976667900818743E-6</v>
      </c>
      <c r="X37" s="31">
        <v>52.109950730545897</v>
      </c>
      <c r="Y37" s="32">
        <f t="shared" si="13"/>
        <v>35576.431395559128</v>
      </c>
      <c r="Z37" s="33">
        <f t="shared" si="14"/>
        <v>1.5406434281765654E-2</v>
      </c>
      <c r="AA37" s="33">
        <f t="shared" si="15"/>
        <v>3.8516085704414139E-4</v>
      </c>
      <c r="AB37" s="33">
        <f t="shared" si="16"/>
        <v>2.5471698113207547E-3</v>
      </c>
      <c r="AC37" s="34">
        <f t="shared" si="9"/>
        <v>8.8043221236272472E-3</v>
      </c>
      <c r="AD37" s="35">
        <v>8.8043221236272472E-3</v>
      </c>
      <c r="AE37" s="36">
        <f t="shared" si="17"/>
        <v>0</v>
      </c>
    </row>
    <row r="38" spans="1:31" s="2" customFormat="1" ht="16.149999999999999" customHeight="1" x14ac:dyDescent="0.2">
      <c r="A38" s="20">
        <v>34</v>
      </c>
      <c r="B38" s="21" t="s">
        <v>65</v>
      </c>
      <c r="C38" s="22">
        <v>6514</v>
      </c>
      <c r="D38" s="24">
        <f t="shared" si="0"/>
        <v>2.8066722449672497E-3</v>
      </c>
      <c r="E38" s="24">
        <f t="shared" si="1"/>
        <v>1.7962702367790399E-3</v>
      </c>
      <c r="F38" s="25">
        <v>16070</v>
      </c>
      <c r="G38" s="25">
        <v>22060</v>
      </c>
      <c r="H38" s="25">
        <f t="shared" si="2"/>
        <v>38130</v>
      </c>
      <c r="I38" s="26">
        <f t="shared" si="18"/>
        <v>3.5351787239932938E-5</v>
      </c>
      <c r="J38" s="26">
        <f t="shared" si="3"/>
        <v>1.1666089789177869E-5</v>
      </c>
      <c r="K38" s="27">
        <v>12930</v>
      </c>
      <c r="L38" s="27">
        <v>8930</v>
      </c>
      <c r="M38" s="25">
        <f t="shared" si="4"/>
        <v>21860</v>
      </c>
      <c r="N38" s="28">
        <f t="shared" si="19"/>
        <v>2.0875428447785262E-5</v>
      </c>
      <c r="O38" s="29">
        <f t="shared" si="10"/>
        <v>6.8888913877691368E-6</v>
      </c>
      <c r="P38" s="27">
        <v>21990</v>
      </c>
      <c r="Q38" s="27">
        <v>6320</v>
      </c>
      <c r="R38" s="25">
        <f t="shared" si="5"/>
        <v>28310</v>
      </c>
      <c r="S38" s="30">
        <f t="shared" si="6"/>
        <v>2.261574902947419E-5</v>
      </c>
      <c r="T38" s="30">
        <f t="shared" si="7"/>
        <v>7.6893546700212255E-6</v>
      </c>
      <c r="U38" s="30">
        <f t="shared" si="11"/>
        <v>2.6244335846968232E-5</v>
      </c>
      <c r="V38" s="31">
        <f t="shared" si="8"/>
        <v>1.1809951131135703E-6</v>
      </c>
      <c r="W38" s="30">
        <f t="shared" si="12"/>
        <v>4.5231498058948381E-7</v>
      </c>
      <c r="X38" s="31">
        <v>50.966674166207099</v>
      </c>
      <c r="Y38" s="32">
        <f t="shared" si="13"/>
        <v>11987.403100481197</v>
      </c>
      <c r="Z38" s="33">
        <f t="shared" si="14"/>
        <v>5.1911653539160399E-3</v>
      </c>
      <c r="AA38" s="33">
        <f t="shared" si="15"/>
        <v>1.29779133847901E-4</v>
      </c>
      <c r="AB38" s="33">
        <f t="shared" si="16"/>
        <v>2.5471698113207547E-3</v>
      </c>
      <c r="AC38" s="34">
        <f t="shared" si="9"/>
        <v>4.4748524920413986E-3</v>
      </c>
      <c r="AD38" s="35">
        <v>4.4748524920413986E-3</v>
      </c>
      <c r="AE38" s="36">
        <f t="shared" si="17"/>
        <v>0</v>
      </c>
    </row>
    <row r="39" spans="1:31" s="2" customFormat="1" ht="16.149999999999999" customHeight="1" x14ac:dyDescent="0.2">
      <c r="A39" s="20">
        <v>35</v>
      </c>
      <c r="B39" s="21" t="s">
        <v>66</v>
      </c>
      <c r="C39" s="22">
        <v>6384</v>
      </c>
      <c r="D39" s="24">
        <f t="shared" si="0"/>
        <v>2.7506594430259323E-3</v>
      </c>
      <c r="E39" s="24">
        <f t="shared" si="1"/>
        <v>1.7604220435365966E-3</v>
      </c>
      <c r="F39" s="25">
        <v>0</v>
      </c>
      <c r="G39" s="25">
        <v>0</v>
      </c>
      <c r="H39" s="25">
        <f t="shared" si="2"/>
        <v>0</v>
      </c>
      <c r="I39" s="26">
        <f t="shared" si="18"/>
        <v>0</v>
      </c>
      <c r="J39" s="26">
        <f t="shared" si="3"/>
        <v>0</v>
      </c>
      <c r="K39" s="27">
        <v>0</v>
      </c>
      <c r="L39" s="27">
        <v>0</v>
      </c>
      <c r="M39" s="25">
        <f t="shared" si="4"/>
        <v>0</v>
      </c>
      <c r="N39" s="28">
        <f t="shared" si="19"/>
        <v>0</v>
      </c>
      <c r="O39" s="29">
        <f t="shared" si="10"/>
        <v>0</v>
      </c>
      <c r="P39" s="27">
        <v>6715</v>
      </c>
      <c r="Q39" s="27">
        <v>3063</v>
      </c>
      <c r="R39" s="25">
        <f t="shared" si="5"/>
        <v>9778</v>
      </c>
      <c r="S39" s="30">
        <f t="shared" si="6"/>
        <v>7.8112608269233007E-6</v>
      </c>
      <c r="T39" s="30">
        <f t="shared" si="7"/>
        <v>2.6558286811539226E-6</v>
      </c>
      <c r="U39" s="30">
        <f t="shared" si="11"/>
        <v>2.6558286811539226E-6</v>
      </c>
      <c r="V39" s="31">
        <f t="shared" si="8"/>
        <v>1.1951229065192652E-7</v>
      </c>
      <c r="W39" s="30">
        <f t="shared" si="12"/>
        <v>1.5622521653846602E-7</v>
      </c>
      <c r="X39" s="31">
        <v>52.660157138938303</v>
      </c>
      <c r="Y39" s="32">
        <f t="shared" si="13"/>
        <v>10174.060273722596</v>
      </c>
      <c r="Z39" s="33">
        <f t="shared" si="14"/>
        <v>4.4058941506256834E-3</v>
      </c>
      <c r="AA39" s="33">
        <f t="shared" si="15"/>
        <v>1.1014735376564209E-4</v>
      </c>
      <c r="AB39" s="33">
        <f t="shared" si="16"/>
        <v>2.5471698113207547E-3</v>
      </c>
      <c r="AC39" s="34">
        <f t="shared" si="9"/>
        <v>4.4180149461301842E-3</v>
      </c>
      <c r="AD39" s="35">
        <v>4.4180149461301842E-3</v>
      </c>
      <c r="AE39" s="36">
        <f t="shared" si="17"/>
        <v>0</v>
      </c>
    </row>
    <row r="40" spans="1:31" s="2" customFormat="1" ht="16.149999999999999" customHeight="1" x14ac:dyDescent="0.2">
      <c r="A40" s="20">
        <v>36</v>
      </c>
      <c r="B40" s="39" t="s">
        <v>67</v>
      </c>
      <c r="C40" s="22">
        <v>8090</v>
      </c>
      <c r="D40" s="24">
        <f t="shared" si="0"/>
        <v>3.4857197515789145E-3</v>
      </c>
      <c r="E40" s="24">
        <f t="shared" si="1"/>
        <v>2.2308606410105054E-3</v>
      </c>
      <c r="F40" s="25">
        <v>14450</v>
      </c>
      <c r="G40" s="25">
        <v>0</v>
      </c>
      <c r="H40" s="25">
        <f t="shared" si="2"/>
        <v>14450</v>
      </c>
      <c r="I40" s="26">
        <f t="shared" si="18"/>
        <v>1.3397149898164987E-5</v>
      </c>
      <c r="J40" s="26">
        <f t="shared" si="3"/>
        <v>4.4210594663944463E-6</v>
      </c>
      <c r="K40" s="27">
        <v>16550</v>
      </c>
      <c r="L40" s="27">
        <v>25000</v>
      </c>
      <c r="M40" s="25">
        <f t="shared" si="4"/>
        <v>41550</v>
      </c>
      <c r="N40" s="28">
        <f t="shared" si="19"/>
        <v>3.9678593412876382E-5</v>
      </c>
      <c r="O40" s="29">
        <f t="shared" si="10"/>
        <v>1.3093935826249206E-5</v>
      </c>
      <c r="P40" s="27">
        <v>5825</v>
      </c>
      <c r="Q40" s="27">
        <v>720</v>
      </c>
      <c r="R40" s="25">
        <f t="shared" si="5"/>
        <v>6545</v>
      </c>
      <c r="S40" s="30">
        <f t="shared" si="6"/>
        <v>5.2285438854789326E-6</v>
      </c>
      <c r="T40" s="30">
        <f t="shared" si="7"/>
        <v>1.7777049210628372E-6</v>
      </c>
      <c r="U40" s="30">
        <f t="shared" si="11"/>
        <v>1.929270021370649E-5</v>
      </c>
      <c r="V40" s="31">
        <f t="shared" si="8"/>
        <v>8.6817150961679202E-7</v>
      </c>
      <c r="W40" s="30">
        <f t="shared" si="12"/>
        <v>1.0457087770957866E-7</v>
      </c>
      <c r="X40" s="31">
        <v>53.030389865795101</v>
      </c>
      <c r="Y40" s="32">
        <f t="shared" si="13"/>
        <v>12456.781655520479</v>
      </c>
      <c r="Z40" s="33">
        <f t="shared" si="14"/>
        <v>5.3944305375731479E-3</v>
      </c>
      <c r="AA40" s="33">
        <f t="shared" si="15"/>
        <v>1.348607634393287E-4</v>
      </c>
      <c r="AB40" s="33">
        <f t="shared" si="16"/>
        <v>2.5471698113207547E-3</v>
      </c>
      <c r="AC40" s="34">
        <f t="shared" si="9"/>
        <v>4.9138639581579151E-3</v>
      </c>
      <c r="AD40" s="35">
        <v>4.9138639581579151E-3</v>
      </c>
      <c r="AE40" s="36">
        <f t="shared" si="17"/>
        <v>0</v>
      </c>
    </row>
    <row r="41" spans="1:31" s="2" customFormat="1" ht="16.149999999999999" customHeight="1" x14ac:dyDescent="0.2">
      <c r="A41" s="20">
        <v>37</v>
      </c>
      <c r="B41" s="39" t="s">
        <v>68</v>
      </c>
      <c r="C41" s="22">
        <v>5250</v>
      </c>
      <c r="D41" s="24">
        <f t="shared" si="0"/>
        <v>2.262055463014747E-3</v>
      </c>
      <c r="E41" s="24">
        <f t="shared" si="1"/>
        <v>1.4477154963294381E-3</v>
      </c>
      <c r="F41" s="25">
        <v>26772</v>
      </c>
      <c r="G41" s="25">
        <v>0</v>
      </c>
      <c r="H41" s="25">
        <f t="shared" si="2"/>
        <v>26772</v>
      </c>
      <c r="I41" s="26">
        <f t="shared" si="18"/>
        <v>2.4821349278454881E-5</v>
      </c>
      <c r="J41" s="26">
        <f t="shared" si="3"/>
        <v>8.191045261890112E-6</v>
      </c>
      <c r="K41" s="27">
        <v>24020</v>
      </c>
      <c r="L41" s="27">
        <v>0</v>
      </c>
      <c r="M41" s="25">
        <f t="shared" si="4"/>
        <v>24020</v>
      </c>
      <c r="N41" s="28">
        <f t="shared" si="19"/>
        <v>2.2938142329176669E-5</v>
      </c>
      <c r="O41" s="29">
        <f t="shared" si="10"/>
        <v>7.5695869686283016E-6</v>
      </c>
      <c r="P41" s="27">
        <v>23481.01</v>
      </c>
      <c r="Q41" s="27">
        <v>0</v>
      </c>
      <c r="R41" s="25">
        <f t="shared" si="5"/>
        <v>23481.01</v>
      </c>
      <c r="S41" s="30">
        <f t="shared" si="6"/>
        <v>1.8758058252157318E-5</v>
      </c>
      <c r="T41" s="30">
        <f t="shared" si="7"/>
        <v>6.3777398057334884E-6</v>
      </c>
      <c r="U41" s="30">
        <f t="shared" si="11"/>
        <v>2.2138372036251904E-5</v>
      </c>
      <c r="V41" s="31">
        <f t="shared" si="8"/>
        <v>9.9622674163133559E-7</v>
      </c>
      <c r="W41" s="30">
        <f t="shared" si="12"/>
        <v>3.751611650431464E-7</v>
      </c>
      <c r="X41" s="31">
        <v>54.088077284278299</v>
      </c>
      <c r="Y41" s="32">
        <f t="shared" si="13"/>
        <v>7275.3237238976644</v>
      </c>
      <c r="Z41" s="33">
        <f t="shared" si="14"/>
        <v>3.1505913447179338E-3</v>
      </c>
      <c r="AA41" s="33">
        <f t="shared" si="15"/>
        <v>7.8764783617948355E-5</v>
      </c>
      <c r="AB41" s="33">
        <f t="shared" si="16"/>
        <v>2.5471698113207547E-3</v>
      </c>
      <c r="AC41" s="34">
        <f t="shared" si="9"/>
        <v>4.075021479174816E-3</v>
      </c>
      <c r="AD41" s="35">
        <v>4.075021479174816E-3</v>
      </c>
      <c r="AE41" s="36">
        <f t="shared" si="17"/>
        <v>0</v>
      </c>
    </row>
    <row r="42" spans="1:31" s="2" customFormat="1" ht="16.149999999999999" customHeight="1" x14ac:dyDescent="0.2">
      <c r="A42" s="20">
        <v>38</v>
      </c>
      <c r="B42" s="21" t="s">
        <v>69</v>
      </c>
      <c r="C42" s="22">
        <v>35137</v>
      </c>
      <c r="D42" s="24">
        <f t="shared" si="0"/>
        <v>1.5139398629323651E-2</v>
      </c>
      <c r="E42" s="24">
        <f t="shared" si="1"/>
        <v>9.689215122767136E-3</v>
      </c>
      <c r="F42" s="25">
        <v>1236299.55</v>
      </c>
      <c r="G42" s="25">
        <v>79476</v>
      </c>
      <c r="H42" s="25">
        <f t="shared" si="2"/>
        <v>1315775.55</v>
      </c>
      <c r="I42" s="26">
        <f t="shared" si="18"/>
        <v>1.2199060398401717E-3</v>
      </c>
      <c r="J42" s="26">
        <f t="shared" si="3"/>
        <v>4.0256899314725667E-4</v>
      </c>
      <c r="K42" s="27">
        <v>1479034.53</v>
      </c>
      <c r="L42" s="27">
        <v>31374.79</v>
      </c>
      <c r="M42" s="25">
        <f t="shared" si="4"/>
        <v>1510409.32</v>
      </c>
      <c r="N42" s="28">
        <f t="shared" si="19"/>
        <v>1.4423806809939614E-3</v>
      </c>
      <c r="O42" s="29">
        <f t="shared" si="10"/>
        <v>4.7598562472800729E-4</v>
      </c>
      <c r="P42" s="27">
        <v>2229291.23</v>
      </c>
      <c r="Q42" s="27">
        <v>135411</v>
      </c>
      <c r="R42" s="25">
        <f t="shared" si="5"/>
        <v>2364702.23</v>
      </c>
      <c r="S42" s="30">
        <f t="shared" si="6"/>
        <v>1.8890678969663707E-3</v>
      </c>
      <c r="T42" s="30">
        <f t="shared" si="7"/>
        <v>6.4228308496856604E-4</v>
      </c>
      <c r="U42" s="30">
        <f t="shared" si="11"/>
        <v>1.5208377028438299E-3</v>
      </c>
      <c r="V42" s="31">
        <f t="shared" si="8"/>
        <v>6.8437696627972344E-5</v>
      </c>
      <c r="W42" s="30">
        <f t="shared" si="12"/>
        <v>3.7781357939327412E-5</v>
      </c>
      <c r="X42" s="31">
        <v>54.493181212077502</v>
      </c>
      <c r="Y42" s="32">
        <f t="shared" si="13"/>
        <v>46619.519158979456</v>
      </c>
      <c r="Z42" s="33">
        <f t="shared" si="14"/>
        <v>2.018866226869475E-2</v>
      </c>
      <c r="AA42" s="33">
        <f t="shared" si="15"/>
        <v>5.0471655671736882E-4</v>
      </c>
      <c r="AB42" s="33">
        <f t="shared" si="16"/>
        <v>2.5471698113207547E-3</v>
      </c>
      <c r="AC42" s="34">
        <f t="shared" si="9"/>
        <v>1.2847320545372558E-2</v>
      </c>
      <c r="AD42" s="35">
        <v>1.2847320545372558E-2</v>
      </c>
      <c r="AE42" s="36">
        <f t="shared" si="17"/>
        <v>0</v>
      </c>
    </row>
    <row r="43" spans="1:31" s="2" customFormat="1" ht="16.149999999999999" customHeight="1" x14ac:dyDescent="0.2">
      <c r="A43" s="20">
        <v>39</v>
      </c>
      <c r="B43" s="39" t="s">
        <v>70</v>
      </c>
      <c r="C43" s="22">
        <v>4186</v>
      </c>
      <c r="D43" s="24">
        <f t="shared" si="0"/>
        <v>1.8036122225104248E-3</v>
      </c>
      <c r="E43" s="24">
        <f t="shared" si="1"/>
        <v>1.1543118224066719E-3</v>
      </c>
      <c r="F43" s="25">
        <v>13185</v>
      </c>
      <c r="G43" s="25">
        <v>2008</v>
      </c>
      <c r="H43" s="25">
        <f t="shared" si="2"/>
        <v>15193</v>
      </c>
      <c r="I43" s="26">
        <f t="shared" si="18"/>
        <v>1.4086013730299006E-5</v>
      </c>
      <c r="J43" s="26">
        <f t="shared" si="3"/>
        <v>4.648384530998672E-6</v>
      </c>
      <c r="K43" s="27">
        <v>230687.23</v>
      </c>
      <c r="L43" s="27">
        <v>0</v>
      </c>
      <c r="M43" s="25">
        <f t="shared" si="4"/>
        <v>230687.23</v>
      </c>
      <c r="N43" s="28">
        <f t="shared" si="19"/>
        <v>2.2029710721330201E-4</v>
      </c>
      <c r="O43" s="29">
        <f t="shared" si="10"/>
        <v>7.269804538038966E-5</v>
      </c>
      <c r="P43" s="27">
        <v>0</v>
      </c>
      <c r="Q43" s="27">
        <v>0</v>
      </c>
      <c r="R43" s="25">
        <f t="shared" si="5"/>
        <v>0</v>
      </c>
      <c r="S43" s="30">
        <f t="shared" si="6"/>
        <v>0</v>
      </c>
      <c r="T43" s="30">
        <f t="shared" si="7"/>
        <v>0</v>
      </c>
      <c r="U43" s="30">
        <f t="shared" si="11"/>
        <v>7.7346429911388337E-5</v>
      </c>
      <c r="V43" s="31">
        <f t="shared" si="8"/>
        <v>3.480589346012475E-6</v>
      </c>
      <c r="W43" s="30">
        <f t="shared" si="12"/>
        <v>0</v>
      </c>
      <c r="X43" s="31">
        <v>55.1057406418157</v>
      </c>
      <c r="Y43" s="32">
        <f t="shared" si="13"/>
        <v>5180.6110244411384</v>
      </c>
      <c r="Z43" s="33">
        <f t="shared" si="14"/>
        <v>2.2434724382560198E-3</v>
      </c>
      <c r="AA43" s="33">
        <f t="shared" si="15"/>
        <v>5.60868109564005E-5</v>
      </c>
      <c r="AB43" s="33">
        <f t="shared" si="16"/>
        <v>2.5471698113207547E-3</v>
      </c>
      <c r="AC43" s="34">
        <f t="shared" si="9"/>
        <v>3.7610490340298395E-3</v>
      </c>
      <c r="AD43" s="35">
        <v>3.7610490340298395E-3</v>
      </c>
      <c r="AE43" s="36">
        <f t="shared" si="17"/>
        <v>0</v>
      </c>
    </row>
    <row r="44" spans="1:31" s="2" customFormat="1" ht="16.149999999999999" customHeight="1" x14ac:dyDescent="0.2">
      <c r="A44" s="20">
        <v>40</v>
      </c>
      <c r="B44" s="39" t="s">
        <v>71</v>
      </c>
      <c r="C44" s="22">
        <v>28555</v>
      </c>
      <c r="D44" s="24">
        <f t="shared" si="0"/>
        <v>1.2303427380264019E-2</v>
      </c>
      <c r="E44" s="24">
        <f t="shared" si="1"/>
        <v>7.8741935233689712E-3</v>
      </c>
      <c r="F44" s="25">
        <v>627004.62</v>
      </c>
      <c r="G44" s="25">
        <v>532448.22</v>
      </c>
      <c r="H44" s="25">
        <f t="shared" si="2"/>
        <v>1159452.8399999999</v>
      </c>
      <c r="I44" s="26">
        <f t="shared" si="18"/>
        <v>1.0749732524105954E-3</v>
      </c>
      <c r="J44" s="26">
        <f t="shared" si="3"/>
        <v>3.5474117329549649E-4</v>
      </c>
      <c r="K44" s="27">
        <v>513443.02</v>
      </c>
      <c r="L44" s="27">
        <v>337299.46</v>
      </c>
      <c r="M44" s="25">
        <f t="shared" si="4"/>
        <v>850742.48</v>
      </c>
      <c r="N44" s="28">
        <f t="shared" si="19"/>
        <v>8.1242514953025545E-4</v>
      </c>
      <c r="O44" s="29">
        <f t="shared" si="10"/>
        <v>2.681002993449843E-4</v>
      </c>
      <c r="P44" s="27">
        <v>338298.18</v>
      </c>
      <c r="Q44" s="27">
        <v>315744.75</v>
      </c>
      <c r="R44" s="25">
        <f t="shared" si="5"/>
        <v>654042.92999999993</v>
      </c>
      <c r="S44" s="30">
        <f t="shared" si="6"/>
        <v>5.2248925324556536E-4</v>
      </c>
      <c r="T44" s="30">
        <f t="shared" si="7"/>
        <v>1.7764634610349225E-4</v>
      </c>
      <c r="U44" s="30">
        <f t="shared" si="11"/>
        <v>8.0048781874397313E-4</v>
      </c>
      <c r="V44" s="31">
        <f t="shared" si="8"/>
        <v>3.6021951843478791E-5</v>
      </c>
      <c r="W44" s="30">
        <f t="shared" si="12"/>
        <v>1.0449785064911308E-5</v>
      </c>
      <c r="X44" s="31">
        <v>55.022645544476198</v>
      </c>
      <c r="Y44" s="32">
        <f t="shared" si="13"/>
        <v>35685.263703121345</v>
      </c>
      <c r="Z44" s="33">
        <f t="shared" si="14"/>
        <v>1.5453564298139346E-2</v>
      </c>
      <c r="AA44" s="33">
        <f t="shared" si="15"/>
        <v>3.8633910745348369E-4</v>
      </c>
      <c r="AB44" s="33">
        <f t="shared" si="16"/>
        <v>2.5471698113207547E-3</v>
      </c>
      <c r="AC44" s="34">
        <f t="shared" si="9"/>
        <v>1.0854174179051598E-2</v>
      </c>
      <c r="AD44" s="35">
        <v>1.0854174179051598E-2</v>
      </c>
      <c r="AE44" s="36">
        <f t="shared" si="17"/>
        <v>0</v>
      </c>
    </row>
    <row r="45" spans="1:31" s="2" customFormat="1" ht="16.149999999999999" customHeight="1" x14ac:dyDescent="0.2">
      <c r="A45" s="20">
        <v>41</v>
      </c>
      <c r="B45" s="39" t="s">
        <v>72</v>
      </c>
      <c r="C45" s="22">
        <v>141939</v>
      </c>
      <c r="D45" s="24">
        <f t="shared" si="0"/>
        <v>6.1156931498066697E-2</v>
      </c>
      <c r="E45" s="24">
        <f t="shared" si="1"/>
        <v>3.9140436158762684E-2</v>
      </c>
      <c r="F45" s="25">
        <v>4129589.36</v>
      </c>
      <c r="G45" s="25">
        <v>694300</v>
      </c>
      <c r="H45" s="25">
        <f t="shared" si="2"/>
        <v>4823889.3599999994</v>
      </c>
      <c r="I45" s="26">
        <f t="shared" si="18"/>
        <v>4.4724130690714983E-3</v>
      </c>
      <c r="J45" s="26">
        <f t="shared" si="3"/>
        <v>1.4758963127935944E-3</v>
      </c>
      <c r="K45" s="27">
        <v>4298471.3499999996</v>
      </c>
      <c r="L45" s="27">
        <v>1187340</v>
      </c>
      <c r="M45" s="25">
        <f t="shared" si="4"/>
        <v>5485811.3499999996</v>
      </c>
      <c r="N45" s="28">
        <f t="shared" si="19"/>
        <v>5.2387311214534887E-3</v>
      </c>
      <c r="O45" s="29">
        <f t="shared" si="10"/>
        <v>1.7287812700796513E-3</v>
      </c>
      <c r="P45" s="27">
        <v>10652098.24</v>
      </c>
      <c r="Q45" s="27">
        <v>1767466</v>
      </c>
      <c r="R45" s="25">
        <f t="shared" si="5"/>
        <v>12419564.24</v>
      </c>
      <c r="S45" s="30">
        <f t="shared" si="6"/>
        <v>9.9215029285507714E-3</v>
      </c>
      <c r="T45" s="30">
        <f t="shared" si="7"/>
        <v>3.3733109957072623E-3</v>
      </c>
      <c r="U45" s="30">
        <f t="shared" si="11"/>
        <v>6.577988578580508E-3</v>
      </c>
      <c r="V45" s="31">
        <f t="shared" si="8"/>
        <v>2.9600948603612283E-4</v>
      </c>
      <c r="W45" s="30">
        <f t="shared" si="12"/>
        <v>1.9843005857101542E-4</v>
      </c>
      <c r="X45" s="31">
        <v>58.122018789171797</v>
      </c>
      <c r="Y45" s="32">
        <f t="shared" si="13"/>
        <v>113328.93265219289</v>
      </c>
      <c r="Z45" s="33">
        <f t="shared" si="14"/>
        <v>4.9077287536675236E-2</v>
      </c>
      <c r="AA45" s="33">
        <f t="shared" si="15"/>
        <v>1.2269321884168811E-3</v>
      </c>
      <c r="AB45" s="33">
        <f t="shared" si="16"/>
        <v>2.5471698113207547E-3</v>
      </c>
      <c r="AC45" s="34">
        <f t="shared" si="9"/>
        <v>4.3408977703107456E-2</v>
      </c>
      <c r="AD45" s="35">
        <v>4.3408977703107456E-2</v>
      </c>
      <c r="AE45" s="36">
        <f t="shared" si="17"/>
        <v>0</v>
      </c>
    </row>
    <row r="46" spans="1:31" s="2" customFormat="1" ht="16.149999999999999" customHeight="1" x14ac:dyDescent="0.2">
      <c r="A46" s="20">
        <v>42</v>
      </c>
      <c r="B46" s="21" t="s">
        <v>73</v>
      </c>
      <c r="C46" s="22">
        <v>5553</v>
      </c>
      <c r="D46" s="24">
        <f t="shared" si="0"/>
        <v>2.3926083783087407E-3</v>
      </c>
      <c r="E46" s="24">
        <f t="shared" si="1"/>
        <v>1.5312693621175942E-3</v>
      </c>
      <c r="F46" s="25">
        <v>0</v>
      </c>
      <c r="G46" s="25">
        <v>0</v>
      </c>
      <c r="H46" s="25">
        <f t="shared" si="2"/>
        <v>0</v>
      </c>
      <c r="I46" s="26">
        <f t="shared" si="18"/>
        <v>0</v>
      </c>
      <c r="J46" s="26">
        <f t="shared" si="3"/>
        <v>0</v>
      </c>
      <c r="K46" s="27">
        <v>6000</v>
      </c>
      <c r="L46" s="27">
        <v>10890</v>
      </c>
      <c r="M46" s="25">
        <f t="shared" si="4"/>
        <v>16890</v>
      </c>
      <c r="N46" s="28">
        <f t="shared" si="19"/>
        <v>1.6129276600324477E-5</v>
      </c>
      <c r="O46" s="29">
        <f t="shared" si="10"/>
        <v>5.3226612781070779E-6</v>
      </c>
      <c r="P46" s="27">
        <v>2825</v>
      </c>
      <c r="Q46" s="27">
        <v>15600</v>
      </c>
      <c r="R46" s="25">
        <f t="shared" si="5"/>
        <v>18425</v>
      </c>
      <c r="S46" s="30">
        <f t="shared" si="6"/>
        <v>1.4719010097776826E-5</v>
      </c>
      <c r="T46" s="30">
        <f t="shared" si="7"/>
        <v>5.0044634332441216E-6</v>
      </c>
      <c r="U46" s="30">
        <f t="shared" si="11"/>
        <v>1.0327124711351199E-5</v>
      </c>
      <c r="V46" s="31">
        <f t="shared" si="8"/>
        <v>4.647206120108039E-7</v>
      </c>
      <c r="W46" s="30">
        <f t="shared" si="12"/>
        <v>2.9438020195553655E-7</v>
      </c>
      <c r="X46" s="31">
        <v>52.537152252264796</v>
      </c>
      <c r="Y46" s="32">
        <f t="shared" si="13"/>
        <v>8949.1627798860682</v>
      </c>
      <c r="Z46" s="33">
        <f t="shared" si="14"/>
        <v>3.8754502021905528E-3</v>
      </c>
      <c r="AA46" s="33">
        <f t="shared" si="15"/>
        <v>9.6886255054763829E-5</v>
      </c>
      <c r="AB46" s="33">
        <f t="shared" si="16"/>
        <v>2.5471698113207547E-3</v>
      </c>
      <c r="AC46" s="34">
        <f t="shared" si="9"/>
        <v>4.1760845293070791E-3</v>
      </c>
      <c r="AD46" s="35">
        <v>4.1760845293070791E-3</v>
      </c>
      <c r="AE46" s="36">
        <f t="shared" si="17"/>
        <v>0</v>
      </c>
    </row>
    <row r="47" spans="1:31" s="2" customFormat="1" ht="16.149999999999999" customHeight="1" x14ac:dyDescent="0.2">
      <c r="A47" s="20">
        <v>43</v>
      </c>
      <c r="B47" s="21" t="s">
        <v>74</v>
      </c>
      <c r="C47" s="22">
        <v>3405</v>
      </c>
      <c r="D47" s="24">
        <f t="shared" si="0"/>
        <v>1.4671045431552787E-3</v>
      </c>
      <c r="E47" s="24">
        <f t="shared" si="1"/>
        <v>9.3894690761937838E-4</v>
      </c>
      <c r="F47" s="25">
        <v>0</v>
      </c>
      <c r="G47" s="25">
        <v>0</v>
      </c>
      <c r="H47" s="25">
        <f t="shared" si="2"/>
        <v>0</v>
      </c>
      <c r="I47" s="26">
        <f t="shared" si="18"/>
        <v>0</v>
      </c>
      <c r="J47" s="26">
        <f t="shared" si="3"/>
        <v>0</v>
      </c>
      <c r="K47" s="27">
        <v>4880</v>
      </c>
      <c r="L47" s="27">
        <v>30000</v>
      </c>
      <c r="M47" s="25">
        <f t="shared" si="4"/>
        <v>34880</v>
      </c>
      <c r="N47" s="28">
        <f t="shared" si="19"/>
        <v>3.3309009343950136E-5</v>
      </c>
      <c r="O47" s="29">
        <f t="shared" si="10"/>
        <v>1.0991973083503546E-5</v>
      </c>
      <c r="P47" s="27">
        <v>1618</v>
      </c>
      <c r="Q47" s="27">
        <v>200</v>
      </c>
      <c r="R47" s="25">
        <f t="shared" si="5"/>
        <v>1818</v>
      </c>
      <c r="S47" s="30">
        <f t="shared" si="6"/>
        <v>1.4523289203667989E-6</v>
      </c>
      <c r="T47" s="30">
        <f t="shared" si="7"/>
        <v>4.9379183292471164E-7</v>
      </c>
      <c r="U47" s="30">
        <f t="shared" si="11"/>
        <v>1.1485764916428257E-5</v>
      </c>
      <c r="V47" s="31">
        <f t="shared" si="8"/>
        <v>5.1685942123927151E-7</v>
      </c>
      <c r="W47" s="30">
        <f t="shared" si="12"/>
        <v>2.9046578407335977E-8</v>
      </c>
      <c r="X47" s="31">
        <v>51.940833109295802</v>
      </c>
      <c r="Y47" s="32">
        <f t="shared" si="13"/>
        <v>5783.1020510706339</v>
      </c>
      <c r="Z47" s="33">
        <f t="shared" si="14"/>
        <v>2.5043822047223527E-3</v>
      </c>
      <c r="AA47" s="33">
        <f t="shared" si="15"/>
        <v>6.2609555118058817E-5</v>
      </c>
      <c r="AB47" s="33">
        <f t="shared" si="16"/>
        <v>2.5471698113207547E-3</v>
      </c>
      <c r="AC47" s="34">
        <f t="shared" si="9"/>
        <v>3.5492721800578384E-3</v>
      </c>
      <c r="AD47" s="35">
        <v>3.5492721800578384E-3</v>
      </c>
      <c r="AE47" s="36">
        <f t="shared" si="17"/>
        <v>0</v>
      </c>
    </row>
    <row r="48" spans="1:31" s="2" customFormat="1" ht="16.149999999999999" customHeight="1" x14ac:dyDescent="0.2">
      <c r="A48" s="20">
        <v>44</v>
      </c>
      <c r="B48" s="21" t="s">
        <v>75</v>
      </c>
      <c r="C48" s="22">
        <v>7530</v>
      </c>
      <c r="D48" s="24">
        <f t="shared" si="0"/>
        <v>3.2444338355240082E-3</v>
      </c>
      <c r="E48" s="24">
        <f t="shared" si="1"/>
        <v>2.0764376547353653E-3</v>
      </c>
      <c r="F48" s="25">
        <v>22691.7</v>
      </c>
      <c r="G48" s="25">
        <v>0</v>
      </c>
      <c r="H48" s="25">
        <f t="shared" si="2"/>
        <v>22691.7</v>
      </c>
      <c r="I48" s="26">
        <f t="shared" si="18"/>
        <v>2.1038346459805568E-5</v>
      </c>
      <c r="J48" s="26">
        <f t="shared" si="3"/>
        <v>6.9426543317358379E-6</v>
      </c>
      <c r="K48" s="27">
        <v>21643.58</v>
      </c>
      <c r="L48" s="27">
        <v>0</v>
      </c>
      <c r="M48" s="25">
        <f t="shared" si="4"/>
        <v>21643.58</v>
      </c>
      <c r="N48" s="28">
        <f t="shared" si="19"/>
        <v>2.0668755976391407E-5</v>
      </c>
      <c r="O48" s="29">
        <f t="shared" si="10"/>
        <v>6.8206894722091643E-6</v>
      </c>
      <c r="P48" s="27">
        <v>186339</v>
      </c>
      <c r="Q48" s="27">
        <v>0</v>
      </c>
      <c r="R48" s="25">
        <f t="shared" si="5"/>
        <v>186339</v>
      </c>
      <c r="S48" s="30">
        <f t="shared" si="6"/>
        <v>1.4885892117284319E-4</v>
      </c>
      <c r="T48" s="30">
        <f t="shared" si="7"/>
        <v>5.0612033198766689E-5</v>
      </c>
      <c r="U48" s="30">
        <f t="shared" si="11"/>
        <v>6.4375377002711689E-5</v>
      </c>
      <c r="V48" s="31">
        <f t="shared" si="8"/>
        <v>2.8968919651220258E-6</v>
      </c>
      <c r="W48" s="30">
        <f t="shared" si="12"/>
        <v>2.977178423456864E-6</v>
      </c>
      <c r="X48" s="31">
        <v>53.841735650131497</v>
      </c>
      <c r="Y48" s="32">
        <f t="shared" si="13"/>
        <v>10704.973968736624</v>
      </c>
      <c r="Z48" s="33">
        <f t="shared" si="14"/>
        <v>4.6358072315802841E-3</v>
      </c>
      <c r="AA48" s="33">
        <f t="shared" si="15"/>
        <v>1.158951807895071E-4</v>
      </c>
      <c r="AB48" s="33">
        <f t="shared" si="16"/>
        <v>2.5471698113207547E-3</v>
      </c>
      <c r="AC48" s="34">
        <f t="shared" si="9"/>
        <v>4.745376717234206E-3</v>
      </c>
      <c r="AD48" s="35">
        <v>4.745376717234206E-3</v>
      </c>
      <c r="AE48" s="36">
        <f t="shared" si="17"/>
        <v>0</v>
      </c>
    </row>
    <row r="49" spans="1:31" s="2" customFormat="1" ht="16.149999999999999" customHeight="1" x14ac:dyDescent="0.2">
      <c r="A49" s="20">
        <v>45</v>
      </c>
      <c r="B49" s="21" t="s">
        <v>76</v>
      </c>
      <c r="C49" s="22">
        <v>2677</v>
      </c>
      <c r="D49" s="24">
        <f t="shared" si="0"/>
        <v>1.1534328522839004E-3</v>
      </c>
      <c r="E49" s="24">
        <f t="shared" si="1"/>
        <v>7.3819702546169623E-4</v>
      </c>
      <c r="F49" s="25">
        <v>13285.3</v>
      </c>
      <c r="G49" s="25">
        <v>2618</v>
      </c>
      <c r="H49" s="25">
        <f t="shared" si="2"/>
        <v>15903.3</v>
      </c>
      <c r="I49" s="26">
        <f t="shared" si="18"/>
        <v>1.4744560136711919E-5</v>
      </c>
      <c r="J49" s="26">
        <f t="shared" si="3"/>
        <v>4.8657048451149334E-6</v>
      </c>
      <c r="K49" s="27">
        <v>21245</v>
      </c>
      <c r="L49" s="27">
        <v>5871</v>
      </c>
      <c r="M49" s="25">
        <f t="shared" si="4"/>
        <v>27116</v>
      </c>
      <c r="N49" s="28">
        <f t="shared" si="19"/>
        <v>2.5894698892504355E-5</v>
      </c>
      <c r="O49" s="29">
        <f t="shared" si="10"/>
        <v>8.5452506345264374E-6</v>
      </c>
      <c r="P49" s="27">
        <v>12500</v>
      </c>
      <c r="Q49" s="27">
        <v>5868</v>
      </c>
      <c r="R49" s="25">
        <f t="shared" si="5"/>
        <v>18368</v>
      </c>
      <c r="S49" s="30">
        <f t="shared" si="6"/>
        <v>1.4673475032616811E-5</v>
      </c>
      <c r="T49" s="30">
        <f t="shared" si="7"/>
        <v>4.9889815110897156E-6</v>
      </c>
      <c r="U49" s="30">
        <f t="shared" si="11"/>
        <v>1.8399936990731086E-5</v>
      </c>
      <c r="V49" s="31">
        <f t="shared" si="8"/>
        <v>8.2799716458289878E-7</v>
      </c>
      <c r="W49" s="30">
        <f t="shared" si="12"/>
        <v>2.9346950065233621E-7</v>
      </c>
      <c r="X49" s="31">
        <v>54.674296035061403</v>
      </c>
      <c r="Y49" s="32">
        <f t="shared" si="13"/>
        <v>3481.2310252588718</v>
      </c>
      <c r="Z49" s="33">
        <f t="shared" si="14"/>
        <v>1.5075530317801727E-3</v>
      </c>
      <c r="AA49" s="33">
        <f t="shared" si="15"/>
        <v>3.768882579450432E-5</v>
      </c>
      <c r="AB49" s="33">
        <f t="shared" si="16"/>
        <v>2.5471698113207547E-3</v>
      </c>
      <c r="AC49" s="34">
        <f t="shared" si="9"/>
        <v>3.3241771292421905E-3</v>
      </c>
      <c r="AD49" s="35">
        <v>3.3241771292421905E-3</v>
      </c>
      <c r="AE49" s="36">
        <f t="shared" si="17"/>
        <v>0</v>
      </c>
    </row>
    <row r="50" spans="1:31" s="2" customFormat="1" ht="16.149999999999999" customHeight="1" x14ac:dyDescent="0.2">
      <c r="A50" s="20">
        <v>46</v>
      </c>
      <c r="B50" s="21" t="s">
        <v>77</v>
      </c>
      <c r="C50" s="22">
        <v>3296</v>
      </c>
      <c r="D50" s="24">
        <f t="shared" si="0"/>
        <v>1.4201399630660201E-3</v>
      </c>
      <c r="E50" s="24">
        <f t="shared" si="1"/>
        <v>9.0888957636225292E-4</v>
      </c>
      <c r="F50" s="25">
        <v>2800</v>
      </c>
      <c r="G50" s="25">
        <v>0</v>
      </c>
      <c r="H50" s="25">
        <f t="shared" si="2"/>
        <v>2800</v>
      </c>
      <c r="I50" s="26">
        <f t="shared" si="18"/>
        <v>2.5959875235198592E-6</v>
      </c>
      <c r="J50" s="26">
        <f t="shared" si="3"/>
        <v>8.5667588276155362E-7</v>
      </c>
      <c r="K50" s="27">
        <v>3778</v>
      </c>
      <c r="L50" s="27">
        <v>0</v>
      </c>
      <c r="M50" s="25">
        <f t="shared" si="4"/>
        <v>3778</v>
      </c>
      <c r="N50" s="28">
        <f t="shared" si="19"/>
        <v>3.6078393721744156E-6</v>
      </c>
      <c r="O50" s="29">
        <f t="shared" si="10"/>
        <v>1.1905869928175572E-6</v>
      </c>
      <c r="P50" s="27">
        <v>6817</v>
      </c>
      <c r="Q50" s="27">
        <v>0</v>
      </c>
      <c r="R50" s="25">
        <f t="shared" si="5"/>
        <v>6817</v>
      </c>
      <c r="S50" s="30">
        <f t="shared" si="6"/>
        <v>5.4458340209793553E-6</v>
      </c>
      <c r="T50" s="30">
        <f t="shared" si="7"/>
        <v>1.851583567132981E-6</v>
      </c>
      <c r="U50" s="30">
        <f t="shared" si="11"/>
        <v>3.8988464427120917E-6</v>
      </c>
      <c r="V50" s="31">
        <f t="shared" si="8"/>
        <v>1.7544808992204412E-7</v>
      </c>
      <c r="W50" s="30">
        <f t="shared" si="12"/>
        <v>1.0891668041958711E-7</v>
      </c>
      <c r="X50" s="31">
        <v>51.863235698255899</v>
      </c>
      <c r="Y50" s="32">
        <f t="shared" si="13"/>
        <v>5635.2136601726652</v>
      </c>
      <c r="Z50" s="33">
        <f t="shared" si="14"/>
        <v>2.440338884860596E-3</v>
      </c>
      <c r="AA50" s="33">
        <f t="shared" si="15"/>
        <v>6.1008472121514907E-5</v>
      </c>
      <c r="AB50" s="33">
        <f t="shared" si="16"/>
        <v>2.5471698113207547E-3</v>
      </c>
      <c r="AC50" s="34">
        <f t="shared" si="9"/>
        <v>3.5173522245748644E-3</v>
      </c>
      <c r="AD50" s="35">
        <v>3.5173522245748644E-3</v>
      </c>
      <c r="AE50" s="36">
        <f t="shared" si="17"/>
        <v>0</v>
      </c>
    </row>
    <row r="51" spans="1:31" s="2" customFormat="1" ht="16.149999999999999" customHeight="1" x14ac:dyDescent="0.2">
      <c r="A51" s="20">
        <v>47</v>
      </c>
      <c r="B51" s="21" t="s">
        <v>78</v>
      </c>
      <c r="C51" s="22">
        <v>5968</v>
      </c>
      <c r="D51" s="24">
        <f t="shared" si="0"/>
        <v>2.5714184768137159E-3</v>
      </c>
      <c r="E51" s="24">
        <f t="shared" si="1"/>
        <v>1.6457078251607782E-3</v>
      </c>
      <c r="F51" s="25">
        <v>42321</v>
      </c>
      <c r="G51" s="25">
        <v>0</v>
      </c>
      <c r="H51" s="25">
        <f t="shared" si="2"/>
        <v>42321</v>
      </c>
      <c r="I51" s="26">
        <f t="shared" si="18"/>
        <v>3.9237424279601412E-5</v>
      </c>
      <c r="J51" s="26">
        <f t="shared" si="3"/>
        <v>1.2948350012268467E-5</v>
      </c>
      <c r="K51" s="27">
        <v>17118</v>
      </c>
      <c r="L51" s="27">
        <v>7670</v>
      </c>
      <c r="M51" s="25">
        <f t="shared" si="4"/>
        <v>24788</v>
      </c>
      <c r="N51" s="28">
        <f t="shared" si="19"/>
        <v>2.3671551709226949E-5</v>
      </c>
      <c r="O51" s="29">
        <f t="shared" si="10"/>
        <v>7.811612064044894E-6</v>
      </c>
      <c r="P51" s="27">
        <v>20175</v>
      </c>
      <c r="Q51" s="27">
        <v>46996</v>
      </c>
      <c r="R51" s="25">
        <f t="shared" si="5"/>
        <v>67171</v>
      </c>
      <c r="S51" s="30">
        <f t="shared" si="6"/>
        <v>5.366027827830487E-5</v>
      </c>
      <c r="T51" s="30">
        <f t="shared" si="7"/>
        <v>1.8244494614623656E-5</v>
      </c>
      <c r="U51" s="30">
        <f t="shared" si="11"/>
        <v>3.9004456690937015E-5</v>
      </c>
      <c r="V51" s="31">
        <f t="shared" si="8"/>
        <v>1.7552005510921656E-6</v>
      </c>
      <c r="W51" s="30">
        <f t="shared" si="12"/>
        <v>1.0732055655660974E-6</v>
      </c>
      <c r="X51" s="31">
        <v>51.998224769065899</v>
      </c>
      <c r="Y51" s="32">
        <f t="shared" si="13"/>
        <v>10086.268970588053</v>
      </c>
      <c r="Z51" s="33">
        <f t="shared" si="14"/>
        <v>4.3678759770991015E-3</v>
      </c>
      <c r="AA51" s="33">
        <f t="shared" si="15"/>
        <v>1.0919689942747754E-4</v>
      </c>
      <c r="AB51" s="33">
        <f t="shared" si="16"/>
        <v>2.5471698113207547E-3</v>
      </c>
      <c r="AC51" s="34">
        <f t="shared" si="9"/>
        <v>4.3049029420256686E-3</v>
      </c>
      <c r="AD51" s="35">
        <v>4.3049029420256686E-3</v>
      </c>
      <c r="AE51" s="36">
        <f t="shared" si="17"/>
        <v>0</v>
      </c>
    </row>
    <row r="52" spans="1:31" s="2" customFormat="1" ht="16.149999999999999" customHeight="1" x14ac:dyDescent="0.2">
      <c r="A52" s="20">
        <v>48</v>
      </c>
      <c r="B52" s="21" t="s">
        <v>79</v>
      </c>
      <c r="C52" s="22">
        <v>23991</v>
      </c>
      <c r="D52" s="24">
        <f t="shared" si="0"/>
        <v>1.0336947164416532E-2</v>
      </c>
      <c r="E52" s="24">
        <f t="shared" si="1"/>
        <v>6.6156461852265799E-3</v>
      </c>
      <c r="F52" s="25">
        <v>167807</v>
      </c>
      <c r="G52" s="25">
        <v>520110</v>
      </c>
      <c r="H52" s="25">
        <f t="shared" si="2"/>
        <v>687917</v>
      </c>
      <c r="I52" s="26">
        <f t="shared" si="18"/>
        <v>6.3779426757757534E-4</v>
      </c>
      <c r="J52" s="26">
        <f t="shared" si="3"/>
        <v>2.1047210830059987E-4</v>
      </c>
      <c r="K52" s="27">
        <v>39453.5</v>
      </c>
      <c r="L52" s="27">
        <v>202593</v>
      </c>
      <c r="M52" s="25">
        <f t="shared" si="4"/>
        <v>242046.5</v>
      </c>
      <c r="N52" s="28">
        <f t="shared" si="19"/>
        <v>2.3114475717231727E-4</v>
      </c>
      <c r="O52" s="29">
        <f t="shared" si="10"/>
        <v>7.6277769866864704E-5</v>
      </c>
      <c r="P52" s="27">
        <v>66907.5</v>
      </c>
      <c r="Q52" s="27">
        <v>70232.5</v>
      </c>
      <c r="R52" s="25">
        <f t="shared" si="5"/>
        <v>137140</v>
      </c>
      <c r="S52" s="30">
        <f t="shared" si="6"/>
        <v>1.0955576905341189E-4</v>
      </c>
      <c r="T52" s="30">
        <f t="shared" si="7"/>
        <v>3.7248961478160041E-5</v>
      </c>
      <c r="U52" s="30">
        <f t="shared" si="11"/>
        <v>3.239988396456246E-4</v>
      </c>
      <c r="V52" s="31">
        <f t="shared" si="8"/>
        <v>1.4579947784053106E-5</v>
      </c>
      <c r="W52" s="30">
        <f t="shared" si="12"/>
        <v>2.1911153810682377E-6</v>
      </c>
      <c r="X52" s="31">
        <v>53.775413786012997</v>
      </c>
      <c r="Y52" s="32">
        <f t="shared" si="13"/>
        <v>34338.312368381339</v>
      </c>
      <c r="Z52" s="33">
        <f t="shared" si="14"/>
        <v>1.4870264725771366E-2</v>
      </c>
      <c r="AA52" s="33">
        <f t="shared" si="15"/>
        <v>3.7175661814428418E-4</v>
      </c>
      <c r="AB52" s="33">
        <f t="shared" si="16"/>
        <v>2.5471698113207547E-3</v>
      </c>
      <c r="AC52" s="34">
        <f t="shared" si="9"/>
        <v>9.5513436778567398E-3</v>
      </c>
      <c r="AD52" s="35">
        <v>9.5513436778567398E-3</v>
      </c>
      <c r="AE52" s="36">
        <f t="shared" si="17"/>
        <v>0</v>
      </c>
    </row>
    <row r="53" spans="1:31" s="2" customFormat="1" ht="16.149999999999999" customHeight="1" x14ac:dyDescent="0.2">
      <c r="A53" s="20">
        <v>49</v>
      </c>
      <c r="B53" s="21" t="s">
        <v>80</v>
      </c>
      <c r="C53" s="22">
        <v>3965</v>
      </c>
      <c r="D53" s="24">
        <f t="shared" si="0"/>
        <v>1.708390459210185E-3</v>
      </c>
      <c r="E53" s="24">
        <f t="shared" si="1"/>
        <v>1.0933698938945184E-3</v>
      </c>
      <c r="F53" s="25">
        <v>0</v>
      </c>
      <c r="G53" s="25">
        <v>0</v>
      </c>
      <c r="H53" s="25">
        <f t="shared" si="2"/>
        <v>0</v>
      </c>
      <c r="I53" s="26">
        <f t="shared" si="18"/>
        <v>0</v>
      </c>
      <c r="J53" s="26">
        <f t="shared" si="3"/>
        <v>0</v>
      </c>
      <c r="K53" s="27">
        <v>0</v>
      </c>
      <c r="L53" s="27">
        <v>0</v>
      </c>
      <c r="M53" s="25">
        <f t="shared" si="4"/>
        <v>0</v>
      </c>
      <c r="N53" s="28">
        <f t="shared" si="19"/>
        <v>0</v>
      </c>
      <c r="O53" s="29">
        <f t="shared" si="10"/>
        <v>0</v>
      </c>
      <c r="P53" s="27">
        <v>0</v>
      </c>
      <c r="Q53" s="27">
        <v>0</v>
      </c>
      <c r="R53" s="25">
        <f t="shared" si="5"/>
        <v>0</v>
      </c>
      <c r="S53" s="30">
        <f t="shared" si="6"/>
        <v>0</v>
      </c>
      <c r="T53" s="30">
        <f t="shared" si="7"/>
        <v>0</v>
      </c>
      <c r="U53" s="30">
        <f t="shared" si="11"/>
        <v>0</v>
      </c>
      <c r="V53" s="31">
        <f t="shared" si="8"/>
        <v>0</v>
      </c>
      <c r="W53" s="30">
        <f t="shared" si="12"/>
        <v>0</v>
      </c>
      <c r="X53" s="31">
        <v>46.505398692223501</v>
      </c>
      <c r="Y53" s="32">
        <f t="shared" si="13"/>
        <v>9872.1123133845995</v>
      </c>
      <c r="Z53" s="33">
        <f t="shared" si="14"/>
        <v>4.2751350715112667E-3</v>
      </c>
      <c r="AA53" s="33">
        <f t="shared" si="15"/>
        <v>1.0687837678778167E-4</v>
      </c>
      <c r="AB53" s="33">
        <f t="shared" si="16"/>
        <v>2.5471698113207547E-3</v>
      </c>
      <c r="AC53" s="34">
        <f t="shared" si="9"/>
        <v>3.7474180820030547E-3</v>
      </c>
      <c r="AD53" s="35">
        <v>3.7474180820030547E-3</v>
      </c>
      <c r="AE53" s="36">
        <f t="shared" si="17"/>
        <v>0</v>
      </c>
    </row>
    <row r="54" spans="1:31" s="2" customFormat="1" ht="16.149999999999999" customHeight="1" x14ac:dyDescent="0.2">
      <c r="A54" s="20">
        <v>50</v>
      </c>
      <c r="B54" s="39" t="s">
        <v>81</v>
      </c>
      <c r="C54" s="22">
        <v>995129</v>
      </c>
      <c r="D54" s="24">
        <f t="shared" si="0"/>
        <v>0.42876895063893372</v>
      </c>
      <c r="E54" s="24">
        <f t="shared" si="1"/>
        <v>0.2744121284089176</v>
      </c>
      <c r="F54" s="25">
        <v>577462057.65999997</v>
      </c>
      <c r="G54" s="25">
        <v>360981608.89999998</v>
      </c>
      <c r="H54" s="25">
        <f t="shared" si="2"/>
        <v>938443666.55999994</v>
      </c>
      <c r="I54" s="26">
        <f t="shared" si="18"/>
        <v>0.87006716068428236</v>
      </c>
      <c r="J54" s="26">
        <f t="shared" si="3"/>
        <v>0.28712216302581317</v>
      </c>
      <c r="K54" s="27">
        <v>605109836.04999995</v>
      </c>
      <c r="L54" s="27">
        <v>306527344</v>
      </c>
      <c r="M54" s="25">
        <f t="shared" si="4"/>
        <v>911637180.04999995</v>
      </c>
      <c r="N54" s="28">
        <f t="shared" si="19"/>
        <v>0.87057716022298737</v>
      </c>
      <c r="O54" s="29">
        <f t="shared" si="10"/>
        <v>0.28729046287358584</v>
      </c>
      <c r="P54" s="27">
        <v>675375952.91999996</v>
      </c>
      <c r="Q54" s="27">
        <v>404206435.06999999</v>
      </c>
      <c r="R54" s="25">
        <f t="shared" si="5"/>
        <v>1079582387.99</v>
      </c>
      <c r="S54" s="30">
        <f t="shared" si="6"/>
        <v>0.86243604180227029</v>
      </c>
      <c r="T54" s="30">
        <f t="shared" si="7"/>
        <v>0.29322825421277193</v>
      </c>
      <c r="U54" s="30">
        <f t="shared" si="11"/>
        <v>0.86764088011217089</v>
      </c>
      <c r="V54" s="31">
        <f t="shared" si="8"/>
        <v>3.9043839605047689E-2</v>
      </c>
      <c r="W54" s="30">
        <f t="shared" si="12"/>
        <v>1.7248720836045405E-2</v>
      </c>
      <c r="X54" s="31">
        <v>59.913620287915698</v>
      </c>
      <c r="Y54" s="32">
        <f t="shared" si="13"/>
        <v>534958.34906737937</v>
      </c>
      <c r="Z54" s="33">
        <f t="shared" si="14"/>
        <v>0.23166462528946127</v>
      </c>
      <c r="AA54" s="33">
        <f t="shared" si="15"/>
        <v>5.7916156322365322E-3</v>
      </c>
      <c r="AB54" s="33">
        <f t="shared" si="16"/>
        <v>2.5471698113207547E-3</v>
      </c>
      <c r="AC54" s="34">
        <f t="shared" si="9"/>
        <v>0.33904347429356796</v>
      </c>
      <c r="AD54" s="35">
        <v>0.33904347429356796</v>
      </c>
      <c r="AE54" s="36">
        <f t="shared" si="17"/>
        <v>0</v>
      </c>
    </row>
    <row r="55" spans="1:31" s="2" customFormat="1" ht="16.149999999999999" customHeight="1" x14ac:dyDescent="0.2">
      <c r="A55" s="20">
        <v>51</v>
      </c>
      <c r="B55" s="21" t="s">
        <v>82</v>
      </c>
      <c r="C55" s="22">
        <v>3430</v>
      </c>
      <c r="D55" s="24">
        <f t="shared" si="0"/>
        <v>1.4778762358363014E-3</v>
      </c>
      <c r="E55" s="24">
        <f t="shared" si="1"/>
        <v>9.4584079093523287E-4</v>
      </c>
      <c r="F55" s="25">
        <v>83900.06</v>
      </c>
      <c r="G55" s="25">
        <v>0</v>
      </c>
      <c r="H55" s="25">
        <f t="shared" si="2"/>
        <v>83900.06</v>
      </c>
      <c r="I55" s="26">
        <f t="shared" si="18"/>
        <v>7.7786967493774132E-5</v>
      </c>
      <c r="J55" s="26">
        <f t="shared" si="3"/>
        <v>2.5669699272945464E-5</v>
      </c>
      <c r="K55" s="27">
        <v>296742</v>
      </c>
      <c r="L55" s="27">
        <v>0</v>
      </c>
      <c r="M55" s="25">
        <f t="shared" si="4"/>
        <v>296742</v>
      </c>
      <c r="N55" s="28">
        <f t="shared" si="19"/>
        <v>2.8337677897770786E-4</v>
      </c>
      <c r="O55" s="29">
        <f t="shared" si="10"/>
        <v>9.3514337062643597E-5</v>
      </c>
      <c r="P55" s="27">
        <v>20010</v>
      </c>
      <c r="Q55" s="27">
        <v>0</v>
      </c>
      <c r="R55" s="25">
        <f t="shared" si="5"/>
        <v>20010</v>
      </c>
      <c r="S55" s="30">
        <f t="shared" si="6"/>
        <v>1.598520445354216E-5</v>
      </c>
      <c r="T55" s="30">
        <f t="shared" si="7"/>
        <v>5.4349695142043346E-6</v>
      </c>
      <c r="U55" s="30">
        <f t="shared" si="11"/>
        <v>1.2461900584979341E-4</v>
      </c>
      <c r="V55" s="31">
        <f t="shared" si="8"/>
        <v>5.6078552632407032E-6</v>
      </c>
      <c r="W55" s="30">
        <f t="shared" si="12"/>
        <v>3.1970408907084324E-7</v>
      </c>
      <c r="X55" s="31">
        <v>55.489157746076998</v>
      </c>
      <c r="Y55" s="32">
        <f t="shared" si="13"/>
        <v>4053.5007083471742</v>
      </c>
      <c r="Z55" s="33">
        <f t="shared" si="14"/>
        <v>1.7553753938917176E-3</v>
      </c>
      <c r="AA55" s="33">
        <f t="shared" si="15"/>
        <v>4.3884384847292945E-5</v>
      </c>
      <c r="AB55" s="33">
        <f t="shared" si="16"/>
        <v>2.5471698113207547E-3</v>
      </c>
      <c r="AC55" s="34">
        <f t="shared" si="9"/>
        <v>3.5428225464555919E-3</v>
      </c>
      <c r="AD55" s="35">
        <v>3.5428225464555919E-3</v>
      </c>
      <c r="AE55" s="36">
        <f t="shared" si="17"/>
        <v>0</v>
      </c>
    </row>
    <row r="56" spans="1:31" s="2" customFormat="1" ht="16.149999999999999" customHeight="1" x14ac:dyDescent="0.2">
      <c r="A56" s="20">
        <v>52</v>
      </c>
      <c r="B56" s="39" t="s">
        <v>83</v>
      </c>
      <c r="C56" s="22">
        <v>37804</v>
      </c>
      <c r="D56" s="24">
        <f t="shared" si="0"/>
        <v>1.628852280453514E-2</v>
      </c>
      <c r="E56" s="24">
        <f t="shared" si="1"/>
        <v>1.042465459490249E-2</v>
      </c>
      <c r="F56" s="25">
        <v>819362.56</v>
      </c>
      <c r="G56" s="25">
        <v>3556047.81</v>
      </c>
      <c r="H56" s="25">
        <f t="shared" si="2"/>
        <v>4375410.37</v>
      </c>
      <c r="I56" s="26">
        <f t="shared" si="18"/>
        <v>4.0566109752855038E-3</v>
      </c>
      <c r="J56" s="26">
        <f t="shared" si="3"/>
        <v>1.3386816218442163E-3</v>
      </c>
      <c r="K56" s="27">
        <v>702225.62</v>
      </c>
      <c r="L56" s="27">
        <v>3779870.17</v>
      </c>
      <c r="M56" s="25">
        <f t="shared" si="4"/>
        <v>4482095.79</v>
      </c>
      <c r="N56" s="28">
        <f t="shared" si="19"/>
        <v>4.2802227795180493E-3</v>
      </c>
      <c r="O56" s="29">
        <f t="shared" si="10"/>
        <v>1.4124735172409563E-3</v>
      </c>
      <c r="P56" s="27">
        <v>817534.17</v>
      </c>
      <c r="Q56" s="27">
        <v>4136638.31</v>
      </c>
      <c r="R56" s="25">
        <f t="shared" si="5"/>
        <v>4954172.4800000004</v>
      </c>
      <c r="S56" s="30">
        <f t="shared" si="6"/>
        <v>3.9576941524693656E-3</v>
      </c>
      <c r="T56" s="30">
        <f t="shared" si="7"/>
        <v>1.3456160118395844E-3</v>
      </c>
      <c r="U56" s="30">
        <f t="shared" si="11"/>
        <v>4.096771150924757E-3</v>
      </c>
      <c r="V56" s="31">
        <f t="shared" si="8"/>
        <v>1.8435470179161407E-4</v>
      </c>
      <c r="W56" s="30">
        <f t="shared" si="12"/>
        <v>7.9153883049387308E-5</v>
      </c>
      <c r="X56" s="31">
        <v>55.383877812184501</v>
      </c>
      <c r="Y56" s="32">
        <f t="shared" si="13"/>
        <v>45255.44779219856</v>
      </c>
      <c r="Z56" s="33">
        <f t="shared" si="14"/>
        <v>1.9597948837257906E-2</v>
      </c>
      <c r="AA56" s="33">
        <f t="shared" si="15"/>
        <v>4.8994872093144771E-4</v>
      </c>
      <c r="AB56" s="33">
        <f t="shared" si="16"/>
        <v>2.5471698113207547E-3</v>
      </c>
      <c r="AC56" s="34">
        <f t="shared" si="9"/>
        <v>1.3725281711995694E-2</v>
      </c>
      <c r="AD56" s="35">
        <v>1.3725281711995694E-2</v>
      </c>
      <c r="AE56" s="36">
        <f t="shared" si="17"/>
        <v>0</v>
      </c>
    </row>
    <row r="57" spans="1:31" s="2" customFormat="1" ht="16.149999999999999" customHeight="1" x14ac:dyDescent="0.2">
      <c r="A57" s="20">
        <v>53</v>
      </c>
      <c r="B57" s="21" t="s">
        <v>84</v>
      </c>
      <c r="C57" s="22">
        <v>13494</v>
      </c>
      <c r="D57" s="24">
        <f t="shared" si="0"/>
        <v>5.8141288415087611E-3</v>
      </c>
      <c r="E57" s="24">
        <f t="shared" si="1"/>
        <v>3.7210424585656073E-3</v>
      </c>
      <c r="F57" s="25">
        <v>114853.17</v>
      </c>
      <c r="G57" s="25">
        <v>170468.5</v>
      </c>
      <c r="H57" s="25">
        <f t="shared" si="2"/>
        <v>285321.67</v>
      </c>
      <c r="I57" s="26">
        <f t="shared" si="18"/>
        <v>2.6453267696780369E-4</v>
      </c>
      <c r="J57" s="26">
        <f t="shared" si="3"/>
        <v>8.729578339937522E-5</v>
      </c>
      <c r="K57" s="27">
        <v>107082.86</v>
      </c>
      <c r="L57" s="27">
        <v>148712</v>
      </c>
      <c r="M57" s="25">
        <f t="shared" si="4"/>
        <v>255794.86</v>
      </c>
      <c r="N57" s="28">
        <f t="shared" si="19"/>
        <v>2.4427389282896835E-4</v>
      </c>
      <c r="O57" s="29">
        <f t="shared" si="10"/>
        <v>8.0610384633559556E-5</v>
      </c>
      <c r="P57" s="27">
        <v>132395.34</v>
      </c>
      <c r="Q57" s="27">
        <v>96550</v>
      </c>
      <c r="R57" s="25">
        <f t="shared" si="5"/>
        <v>228945.34</v>
      </c>
      <c r="S57" s="30">
        <f t="shared" si="6"/>
        <v>1.8289545570143547E-4</v>
      </c>
      <c r="T57" s="30">
        <f t="shared" si="7"/>
        <v>6.2184454938488058E-5</v>
      </c>
      <c r="U57" s="30">
        <f t="shared" si="11"/>
        <v>2.3009062297142283E-4</v>
      </c>
      <c r="V57" s="31">
        <f t="shared" si="8"/>
        <v>1.0354078033714027E-5</v>
      </c>
      <c r="W57" s="30">
        <f t="shared" si="12"/>
        <v>3.6579091140287093E-6</v>
      </c>
      <c r="X57" s="31">
        <v>55.289821135970499</v>
      </c>
      <c r="Y57" s="32">
        <f t="shared" si="13"/>
        <v>16338.562762880752</v>
      </c>
      <c r="Z57" s="33">
        <f t="shared" si="14"/>
        <v>7.0754424654364554E-3</v>
      </c>
      <c r="AA57" s="33">
        <f t="shared" si="15"/>
        <v>1.7688606163591139E-4</v>
      </c>
      <c r="AB57" s="33">
        <f t="shared" si="16"/>
        <v>2.5471698113207547E-3</v>
      </c>
      <c r="AC57" s="34">
        <f t="shared" si="9"/>
        <v>6.4591103186700163E-3</v>
      </c>
      <c r="AD57" s="35">
        <v>6.4591103186700163E-3</v>
      </c>
      <c r="AE57" s="36">
        <f t="shared" si="17"/>
        <v>0</v>
      </c>
    </row>
    <row r="58" spans="1:31" s="2" customFormat="1" ht="16.149999999999999" customHeight="1" x14ac:dyDescent="0.2">
      <c r="A58" s="20">
        <v>54</v>
      </c>
      <c r="B58" s="21" t="s">
        <v>85</v>
      </c>
      <c r="C58" s="22">
        <v>2990</v>
      </c>
      <c r="D58" s="24">
        <f t="shared" si="0"/>
        <v>1.2882944446503035E-3</v>
      </c>
      <c r="E58" s="24">
        <f t="shared" si="1"/>
        <v>8.2450844457619427E-4</v>
      </c>
      <c r="F58" s="25">
        <v>73873</v>
      </c>
      <c r="G58" s="25">
        <v>0</v>
      </c>
      <c r="H58" s="25">
        <f t="shared" si="2"/>
        <v>73873</v>
      </c>
      <c r="I58" s="26">
        <f t="shared" si="18"/>
        <v>6.8490495116065202E-5</v>
      </c>
      <c r="J58" s="26">
        <f t="shared" si="3"/>
        <v>2.2601863388301519E-5</v>
      </c>
      <c r="K58" s="27">
        <v>25239</v>
      </c>
      <c r="L58" s="27">
        <v>0</v>
      </c>
      <c r="M58" s="25">
        <f t="shared" si="4"/>
        <v>25239</v>
      </c>
      <c r="N58" s="28">
        <f t="shared" si="19"/>
        <v>2.4102238727980432E-5</v>
      </c>
      <c r="O58" s="29">
        <f t="shared" si="10"/>
        <v>7.9537387802335425E-6</v>
      </c>
      <c r="P58" s="27">
        <v>34082.019999999997</v>
      </c>
      <c r="Q58" s="27">
        <v>0</v>
      </c>
      <c r="R58" s="25">
        <f t="shared" si="5"/>
        <v>34082.019999999997</v>
      </c>
      <c r="S58" s="30">
        <f t="shared" si="6"/>
        <v>2.7226789499735776E-5</v>
      </c>
      <c r="T58" s="30">
        <f t="shared" si="7"/>
        <v>9.2571084299101647E-6</v>
      </c>
      <c r="U58" s="30">
        <f t="shared" si="11"/>
        <v>3.981271059844523E-5</v>
      </c>
      <c r="V58" s="31">
        <f t="shared" si="8"/>
        <v>1.7915719769300353E-6</v>
      </c>
      <c r="W58" s="30">
        <f t="shared" si="12"/>
        <v>5.4453578999471553E-7</v>
      </c>
      <c r="X58" s="31">
        <v>53.925003128932701</v>
      </c>
      <c r="Y58" s="32">
        <f t="shared" si="13"/>
        <v>4214.4634378379196</v>
      </c>
      <c r="Z58" s="33">
        <f t="shared" si="14"/>
        <v>1.8250805783758012E-3</v>
      </c>
      <c r="AA58" s="33">
        <f t="shared" si="15"/>
        <v>4.5627014459395035E-5</v>
      </c>
      <c r="AB58" s="33">
        <f t="shared" si="16"/>
        <v>2.5471698113207547E-3</v>
      </c>
      <c r="AC58" s="34">
        <f t="shared" si="9"/>
        <v>3.419641378123269E-3</v>
      </c>
      <c r="AD58" s="35">
        <v>3.419641378123269E-3</v>
      </c>
      <c r="AE58" s="36">
        <f t="shared" si="17"/>
        <v>0</v>
      </c>
    </row>
    <row r="59" spans="1:31" s="2" customFormat="1" ht="16.149999999999999" customHeight="1" x14ac:dyDescent="0.2">
      <c r="A59" s="20">
        <v>55</v>
      </c>
      <c r="B59" s="21" t="s">
        <v>86</v>
      </c>
      <c r="C59" s="22">
        <v>7080</v>
      </c>
      <c r="D59" s="24">
        <f t="shared" si="0"/>
        <v>3.0505433672656014E-3</v>
      </c>
      <c r="E59" s="24">
        <f t="shared" si="1"/>
        <v>1.9523477550499849E-3</v>
      </c>
      <c r="F59" s="25">
        <v>29950.34</v>
      </c>
      <c r="G59" s="25">
        <v>35455</v>
      </c>
      <c r="H59" s="25">
        <f t="shared" si="2"/>
        <v>65405.34</v>
      </c>
      <c r="I59" s="26">
        <f t="shared" si="18"/>
        <v>6.0639802361276561E-5</v>
      </c>
      <c r="J59" s="26">
        <f t="shared" si="3"/>
        <v>2.0011134779221267E-5</v>
      </c>
      <c r="K59" s="27">
        <v>108808.77</v>
      </c>
      <c r="L59" s="27">
        <v>60250</v>
      </c>
      <c r="M59" s="25">
        <f t="shared" si="4"/>
        <v>169058.77000000002</v>
      </c>
      <c r="N59" s="28">
        <f t="shared" si="19"/>
        <v>1.6144438502312838E-4</v>
      </c>
      <c r="O59" s="29">
        <f t="shared" si="10"/>
        <v>5.3276647057632365E-5</v>
      </c>
      <c r="P59" s="27">
        <v>43208</v>
      </c>
      <c r="Q59" s="27">
        <v>7716</v>
      </c>
      <c r="R59" s="25">
        <f t="shared" si="5"/>
        <v>50924</v>
      </c>
      <c r="S59" s="30">
        <f t="shared" si="6"/>
        <v>4.0681186986115989E-5</v>
      </c>
      <c r="T59" s="30">
        <f t="shared" si="7"/>
        <v>1.3831603575279438E-5</v>
      </c>
      <c r="U59" s="30">
        <f t="shared" si="11"/>
        <v>8.7119385412133066E-5</v>
      </c>
      <c r="V59" s="31">
        <f t="shared" si="8"/>
        <v>3.920372343545988E-6</v>
      </c>
      <c r="W59" s="30">
        <f t="shared" si="12"/>
        <v>8.136237397223198E-7</v>
      </c>
      <c r="X59" s="31">
        <v>53.747974986357903</v>
      </c>
      <c r="Y59" s="32">
        <f t="shared" si="13"/>
        <v>10161.887481262924</v>
      </c>
      <c r="Z59" s="33">
        <f t="shared" si="14"/>
        <v>4.4006227020936383E-3</v>
      </c>
      <c r="AA59" s="33">
        <f t="shared" si="15"/>
        <v>1.1001556755234096E-4</v>
      </c>
      <c r="AB59" s="33">
        <f t="shared" si="16"/>
        <v>2.5471698113207547E-3</v>
      </c>
      <c r="AC59" s="34">
        <f t="shared" si="9"/>
        <v>4.6142671300063486E-3</v>
      </c>
      <c r="AD59" s="35">
        <v>4.6142671300063486E-3</v>
      </c>
      <c r="AE59" s="36">
        <f t="shared" si="17"/>
        <v>0</v>
      </c>
    </row>
    <row r="60" spans="1:31" s="2" customFormat="1" ht="16.149999999999999" customHeight="1" x14ac:dyDescent="0.2">
      <c r="A60" s="20">
        <v>56</v>
      </c>
      <c r="B60" s="21" t="s">
        <v>87</v>
      </c>
      <c r="C60" s="22">
        <v>33854</v>
      </c>
      <c r="D60" s="24">
        <f t="shared" si="0"/>
        <v>1.458659536093357E-2</v>
      </c>
      <c r="E60" s="24">
        <f t="shared" si="1"/>
        <v>9.3354210309974858E-3</v>
      </c>
      <c r="F60" s="25">
        <v>683157</v>
      </c>
      <c r="G60" s="25">
        <v>1447128</v>
      </c>
      <c r="H60" s="25">
        <f t="shared" si="2"/>
        <v>2130285</v>
      </c>
      <c r="I60" s="26">
        <f t="shared" si="18"/>
        <v>1.9750690291219651E-3</v>
      </c>
      <c r="J60" s="26">
        <f t="shared" si="3"/>
        <v>6.5177277961024854E-4</v>
      </c>
      <c r="K60" s="27">
        <v>413281</v>
      </c>
      <c r="L60" s="27">
        <v>1083193</v>
      </c>
      <c r="M60" s="25">
        <f t="shared" si="4"/>
        <v>1496474</v>
      </c>
      <c r="N60" s="28">
        <f t="shared" si="19"/>
        <v>1.4290730059913542E-3</v>
      </c>
      <c r="O60" s="29">
        <f t="shared" si="10"/>
        <v>4.7159409197714691E-4</v>
      </c>
      <c r="P60" s="27">
        <v>628382</v>
      </c>
      <c r="Q60" s="27">
        <v>1454752</v>
      </c>
      <c r="R60" s="25">
        <f t="shared" si="5"/>
        <v>2083134</v>
      </c>
      <c r="S60" s="30">
        <f t="shared" si="6"/>
        <v>1.6641340776674209E-3</v>
      </c>
      <c r="T60" s="30">
        <f t="shared" si="7"/>
        <v>5.6580558640692319E-4</v>
      </c>
      <c r="U60" s="30">
        <f t="shared" si="11"/>
        <v>1.6891724579943185E-3</v>
      </c>
      <c r="V60" s="31">
        <f t="shared" si="8"/>
        <v>7.6012760609744327E-5</v>
      </c>
      <c r="W60" s="30">
        <f t="shared" si="12"/>
        <v>3.3282681553348417E-5</v>
      </c>
      <c r="X60" s="31">
        <v>53.498647106860702</v>
      </c>
      <c r="Y60" s="32">
        <f t="shared" si="13"/>
        <v>49819.444202935534</v>
      </c>
      <c r="Z60" s="33">
        <f t="shared" si="14"/>
        <v>2.1574395265580977E-2</v>
      </c>
      <c r="AA60" s="33">
        <f t="shared" si="15"/>
        <v>5.393598816395244E-4</v>
      </c>
      <c r="AB60" s="33">
        <f t="shared" si="16"/>
        <v>2.5471698113207547E-3</v>
      </c>
      <c r="AC60" s="34">
        <f t="shared" si="9"/>
        <v>1.2531246166120859E-2</v>
      </c>
      <c r="AD60" s="35">
        <v>1.2531246166120859E-2</v>
      </c>
      <c r="AE60" s="36">
        <f t="shared" si="17"/>
        <v>0</v>
      </c>
    </row>
    <row r="61" spans="1:31" s="2" customFormat="1" ht="16.149999999999999" customHeight="1" x14ac:dyDescent="0.2">
      <c r="A61" s="20">
        <v>57</v>
      </c>
      <c r="B61" s="21" t="s">
        <v>88</v>
      </c>
      <c r="C61" s="22">
        <v>7766</v>
      </c>
      <c r="D61" s="24">
        <f t="shared" si="0"/>
        <v>3.3461186144328617E-3</v>
      </c>
      <c r="E61" s="24">
        <f t="shared" si="1"/>
        <v>2.1415159132370317E-3</v>
      </c>
      <c r="F61" s="25">
        <v>291907</v>
      </c>
      <c r="G61" s="25">
        <v>248611</v>
      </c>
      <c r="H61" s="25">
        <f t="shared" si="2"/>
        <v>540518</v>
      </c>
      <c r="I61" s="26">
        <f t="shared" si="18"/>
        <v>5.0113499437068115E-4</v>
      </c>
      <c r="J61" s="26">
        <f t="shared" si="3"/>
        <v>1.6537454814232478E-4</v>
      </c>
      <c r="K61" s="27">
        <v>272207</v>
      </c>
      <c r="L61" s="27">
        <v>163474</v>
      </c>
      <c r="M61" s="25">
        <f t="shared" si="4"/>
        <v>435681</v>
      </c>
      <c r="N61" s="28">
        <f t="shared" si="19"/>
        <v>4.1605798451781932E-4</v>
      </c>
      <c r="O61" s="29">
        <f t="shared" si="10"/>
        <v>1.3729913489088038E-4</v>
      </c>
      <c r="P61" s="27">
        <v>262459</v>
      </c>
      <c r="Q61" s="27">
        <v>250073</v>
      </c>
      <c r="R61" s="25">
        <f t="shared" si="5"/>
        <v>512532</v>
      </c>
      <c r="S61" s="30">
        <f t="shared" si="6"/>
        <v>4.0944171958934885E-4</v>
      </c>
      <c r="T61" s="30">
        <f t="shared" si="7"/>
        <v>1.3921018466037861E-4</v>
      </c>
      <c r="U61" s="30">
        <f t="shared" si="11"/>
        <v>4.4188386769358377E-4</v>
      </c>
      <c r="V61" s="31">
        <f t="shared" si="8"/>
        <v>1.988477404621127E-5</v>
      </c>
      <c r="W61" s="30">
        <f t="shared" si="12"/>
        <v>8.1888343917869768E-6</v>
      </c>
      <c r="X61" s="31">
        <v>54.5529252086478</v>
      </c>
      <c r="Y61" s="32">
        <f t="shared" si="13"/>
        <v>10236.318699995747</v>
      </c>
      <c r="Z61" s="33">
        <f t="shared" si="14"/>
        <v>4.4328552682880683E-3</v>
      </c>
      <c r="AA61" s="33">
        <f t="shared" si="15"/>
        <v>1.1082138170720171E-4</v>
      </c>
      <c r="AB61" s="33">
        <f t="shared" si="16"/>
        <v>2.5471698113207547E-3</v>
      </c>
      <c r="AC61" s="34">
        <f t="shared" si="9"/>
        <v>4.8275807147029857E-3</v>
      </c>
      <c r="AD61" s="35">
        <v>4.8275807147029857E-3</v>
      </c>
      <c r="AE61" s="36">
        <f t="shared" si="17"/>
        <v>0</v>
      </c>
    </row>
    <row r="62" spans="1:31" s="2" customFormat="1" ht="16.149999999999999" customHeight="1" x14ac:dyDescent="0.2">
      <c r="A62" s="20">
        <v>58</v>
      </c>
      <c r="B62" s="21" t="s">
        <v>89</v>
      </c>
      <c r="C62" s="22">
        <v>25954</v>
      </c>
      <c r="D62" s="24">
        <f t="shared" si="0"/>
        <v>1.1182740473730426E-2</v>
      </c>
      <c r="E62" s="24">
        <f t="shared" si="1"/>
        <v>7.1569539031874733E-3</v>
      </c>
      <c r="F62" s="25">
        <v>64662</v>
      </c>
      <c r="G62" s="25">
        <v>754229.5</v>
      </c>
      <c r="H62" s="25">
        <f t="shared" si="2"/>
        <v>818891.5</v>
      </c>
      <c r="I62" s="26">
        <f t="shared" si="18"/>
        <v>7.5922575611302233E-4</v>
      </c>
      <c r="J62" s="26">
        <f t="shared" si="3"/>
        <v>2.5054449951729738E-4</v>
      </c>
      <c r="K62" s="27">
        <v>130500</v>
      </c>
      <c r="L62" s="27">
        <v>920941.5</v>
      </c>
      <c r="M62" s="25">
        <f t="shared" si="4"/>
        <v>1051441.5</v>
      </c>
      <c r="N62" s="28">
        <f t="shared" si="19"/>
        <v>1.0040847118152794E-3</v>
      </c>
      <c r="O62" s="29">
        <f t="shared" si="10"/>
        <v>3.3134795489904223E-4</v>
      </c>
      <c r="P62" s="27">
        <v>903072</v>
      </c>
      <c r="Q62" s="27">
        <v>708659.5</v>
      </c>
      <c r="R62" s="25">
        <f t="shared" si="5"/>
        <v>1611731.5</v>
      </c>
      <c r="S62" s="30">
        <f t="shared" si="6"/>
        <v>1.2875491030341921E-3</v>
      </c>
      <c r="T62" s="30">
        <f t="shared" si="7"/>
        <v>4.3776669503162532E-4</v>
      </c>
      <c r="U62" s="30">
        <f t="shared" si="11"/>
        <v>1.0196591494479649E-3</v>
      </c>
      <c r="V62" s="31">
        <f t="shared" si="8"/>
        <v>4.5884661725158416E-5</v>
      </c>
      <c r="W62" s="30">
        <f t="shared" si="12"/>
        <v>2.5750982060683841E-5</v>
      </c>
      <c r="X62" s="31">
        <v>53.432239749830401</v>
      </c>
      <c r="Y62" s="32">
        <f t="shared" si="13"/>
        <v>38444.774971990453</v>
      </c>
      <c r="Z62" s="33">
        <f t="shared" si="14"/>
        <v>1.6648575358718359E-2</v>
      </c>
      <c r="AA62" s="33">
        <f t="shared" si="15"/>
        <v>4.1621438396795903E-4</v>
      </c>
      <c r="AB62" s="33">
        <f t="shared" si="16"/>
        <v>2.5471698113207547E-3</v>
      </c>
      <c r="AC62" s="34">
        <f t="shared" si="9"/>
        <v>1.019197374226203E-2</v>
      </c>
      <c r="AD62" s="35">
        <v>1.019197374226203E-2</v>
      </c>
      <c r="AE62" s="36">
        <f t="shared" si="17"/>
        <v>0</v>
      </c>
    </row>
    <row r="63" spans="1:31" s="2" customFormat="1" ht="16.149999999999999" customHeight="1" x14ac:dyDescent="0.2">
      <c r="A63" s="20">
        <v>59</v>
      </c>
      <c r="B63" s="39" t="s">
        <v>90</v>
      </c>
      <c r="C63" s="22">
        <v>66008</v>
      </c>
      <c r="D63" s="24">
        <f t="shared" si="0"/>
        <v>2.8440715619557601E-2</v>
      </c>
      <c r="E63" s="24">
        <f t="shared" si="1"/>
        <v>1.8202057996516866E-2</v>
      </c>
      <c r="F63" s="25">
        <v>20797431.239999998</v>
      </c>
      <c r="G63" s="25">
        <v>32458999.370000001</v>
      </c>
      <c r="H63" s="25">
        <f t="shared" si="2"/>
        <v>53256430.609999999</v>
      </c>
      <c r="I63" s="26">
        <f t="shared" si="18"/>
        <v>4.9376081932414682E-2</v>
      </c>
      <c r="J63" s="26">
        <f t="shared" si="3"/>
        <v>1.6294107037696844E-2</v>
      </c>
      <c r="K63" s="27">
        <v>21037197.289999999</v>
      </c>
      <c r="L63" s="27">
        <v>28527405.07</v>
      </c>
      <c r="M63" s="25">
        <f t="shared" si="4"/>
        <v>49564602.359999999</v>
      </c>
      <c r="N63" s="28">
        <f t="shared" si="19"/>
        <v>4.7332219126674679E-2</v>
      </c>
      <c r="O63" s="29">
        <f t="shared" si="10"/>
        <v>1.5619632311802646E-2</v>
      </c>
      <c r="P63" s="27">
        <v>24042782.5</v>
      </c>
      <c r="Q63" s="27">
        <v>34850539.630000003</v>
      </c>
      <c r="R63" s="25">
        <f t="shared" si="5"/>
        <v>58893322.130000003</v>
      </c>
      <c r="S63" s="30">
        <f t="shared" si="6"/>
        <v>4.704756597683004E-2</v>
      </c>
      <c r="T63" s="30">
        <f t="shared" si="7"/>
        <v>1.5996172432122216E-2</v>
      </c>
      <c r="U63" s="30">
        <f t="shared" si="11"/>
        <v>4.7909911781621704E-2</v>
      </c>
      <c r="V63" s="31">
        <f t="shared" si="8"/>
        <v>2.1559460301729767E-3</v>
      </c>
      <c r="W63" s="30">
        <f t="shared" si="12"/>
        <v>9.4095131953660083E-4</v>
      </c>
      <c r="X63" s="31">
        <v>57.637201221370603</v>
      </c>
      <c r="Y63" s="32">
        <f t="shared" si="13"/>
        <v>57362.5033311343</v>
      </c>
      <c r="Z63" s="33">
        <f t="shared" si="14"/>
        <v>2.4840929883681348E-2</v>
      </c>
      <c r="AA63" s="33">
        <f t="shared" si="15"/>
        <v>6.2102324709203374E-4</v>
      </c>
      <c r="AB63" s="33">
        <f t="shared" si="16"/>
        <v>2.5471698113207547E-3</v>
      </c>
      <c r="AC63" s="34">
        <f t="shared" si="9"/>
        <v>2.4467148404639233E-2</v>
      </c>
      <c r="AD63" s="35">
        <v>2.4467148404639233E-2</v>
      </c>
      <c r="AE63" s="36">
        <f t="shared" si="17"/>
        <v>0</v>
      </c>
    </row>
    <row r="64" spans="1:31" s="2" customFormat="1" ht="16.149999999999999" customHeight="1" x14ac:dyDescent="0.2">
      <c r="A64" s="20">
        <v>60</v>
      </c>
      <c r="B64" s="21" t="s">
        <v>91</v>
      </c>
      <c r="C64" s="22">
        <v>976</v>
      </c>
      <c r="D64" s="24">
        <f t="shared" si="0"/>
        <v>4.2052688226712248E-4</v>
      </c>
      <c r="E64" s="24">
        <f t="shared" si="1"/>
        <v>2.6913720465095842E-4</v>
      </c>
      <c r="F64" s="25">
        <v>5080</v>
      </c>
      <c r="G64" s="25">
        <v>0</v>
      </c>
      <c r="H64" s="25">
        <f t="shared" si="2"/>
        <v>5080</v>
      </c>
      <c r="I64" s="26">
        <f t="shared" si="18"/>
        <v>4.7098630783860299E-6</v>
      </c>
      <c r="J64" s="26">
        <f t="shared" si="3"/>
        <v>1.5542548158673899E-6</v>
      </c>
      <c r="K64" s="27">
        <v>13557</v>
      </c>
      <c r="L64" s="27">
        <v>0</v>
      </c>
      <c r="M64" s="25">
        <f t="shared" si="4"/>
        <v>13557</v>
      </c>
      <c r="N64" s="28">
        <f t="shared" si="19"/>
        <v>1.2946394486121904E-5</v>
      </c>
      <c r="O64" s="29">
        <f t="shared" si="10"/>
        <v>4.272310180420229E-6</v>
      </c>
      <c r="P64" s="27">
        <v>7092</v>
      </c>
      <c r="Q64" s="27">
        <v>0</v>
      </c>
      <c r="R64" s="25">
        <f t="shared" si="5"/>
        <v>7092</v>
      </c>
      <c r="S64" s="30">
        <f t="shared" si="6"/>
        <v>5.6655207388566212E-6</v>
      </c>
      <c r="T64" s="30">
        <f t="shared" si="7"/>
        <v>1.9262770512112512E-6</v>
      </c>
      <c r="U64" s="30">
        <f t="shared" si="11"/>
        <v>7.7528420474988697E-6</v>
      </c>
      <c r="V64" s="31">
        <f t="shared" si="8"/>
        <v>3.4887789213744911E-7</v>
      </c>
      <c r="W64" s="30">
        <f t="shared" si="12"/>
        <v>1.1331041477713242E-7</v>
      </c>
      <c r="X64" s="31">
        <v>53.360424298096497</v>
      </c>
      <c r="Y64" s="32">
        <f t="shared" si="13"/>
        <v>1455.9208888644173</v>
      </c>
      <c r="Z64" s="33">
        <f t="shared" si="14"/>
        <v>6.3048902359946659E-4</v>
      </c>
      <c r="AA64" s="33">
        <f t="shared" si="15"/>
        <v>1.5762225589986665E-5</v>
      </c>
      <c r="AB64" s="33">
        <f t="shared" si="16"/>
        <v>2.5471698113207547E-3</v>
      </c>
      <c r="AC64" s="34">
        <f t="shared" si="9"/>
        <v>2.8325314298686143E-3</v>
      </c>
      <c r="AD64" s="35">
        <v>2.8325314298686143E-3</v>
      </c>
      <c r="AE64" s="36">
        <f t="shared" si="17"/>
        <v>0</v>
      </c>
    </row>
    <row r="65" spans="1:31" s="2" customFormat="1" ht="16.149999999999999" customHeight="1" x14ac:dyDescent="0.2">
      <c r="A65" s="20">
        <v>61</v>
      </c>
      <c r="B65" s="21" t="s">
        <v>92</v>
      </c>
      <c r="C65" s="22">
        <v>3974</v>
      </c>
      <c r="D65" s="24">
        <f t="shared" si="0"/>
        <v>1.7122682685753532E-3</v>
      </c>
      <c r="E65" s="24">
        <f t="shared" si="1"/>
        <v>1.0958516918882261E-3</v>
      </c>
      <c r="F65" s="25">
        <v>109142.29</v>
      </c>
      <c r="G65" s="25">
        <v>77654</v>
      </c>
      <c r="H65" s="25">
        <f t="shared" si="2"/>
        <v>186796.28999999998</v>
      </c>
      <c r="I65" s="26">
        <f t="shared" si="18"/>
        <v>1.7318601367135621E-4</v>
      </c>
      <c r="J65" s="26">
        <f t="shared" si="3"/>
        <v>5.715138451154755E-5</v>
      </c>
      <c r="K65" s="27">
        <v>74409.75</v>
      </c>
      <c r="L65" s="27">
        <v>33613</v>
      </c>
      <c r="M65" s="25">
        <f t="shared" si="4"/>
        <v>108022.75</v>
      </c>
      <c r="N65" s="28">
        <f t="shared" si="19"/>
        <v>1.031574194125341E-4</v>
      </c>
      <c r="O65" s="29">
        <f t="shared" si="10"/>
        <v>3.4041948406136253E-5</v>
      </c>
      <c r="P65" s="27">
        <v>325191.34000000003</v>
      </c>
      <c r="Q65" s="27">
        <v>55258</v>
      </c>
      <c r="R65" s="25">
        <f t="shared" si="5"/>
        <v>380449.34</v>
      </c>
      <c r="S65" s="30">
        <f t="shared" si="6"/>
        <v>3.039260611751712E-4</v>
      </c>
      <c r="T65" s="30">
        <f t="shared" si="7"/>
        <v>1.0333486079955822E-4</v>
      </c>
      <c r="U65" s="30">
        <f t="shared" si="11"/>
        <v>1.9452819371724203E-4</v>
      </c>
      <c r="V65" s="31">
        <f t="shared" si="8"/>
        <v>8.7537687172758903E-6</v>
      </c>
      <c r="W65" s="30">
        <f t="shared" si="12"/>
        <v>6.0785212235034238E-6</v>
      </c>
      <c r="X65" s="31">
        <v>54.185868028603402</v>
      </c>
      <c r="Y65" s="32">
        <f t="shared" si="13"/>
        <v>5450.4904821504551</v>
      </c>
      <c r="Z65" s="33">
        <f t="shared" si="14"/>
        <v>2.3603441976229851E-3</v>
      </c>
      <c r="AA65" s="33">
        <f t="shared" si="15"/>
        <v>5.9008604940574631E-5</v>
      </c>
      <c r="AB65" s="33">
        <f t="shared" si="16"/>
        <v>2.5471698113207547E-3</v>
      </c>
      <c r="AC65" s="34">
        <f t="shared" si="9"/>
        <v>3.7168623980903346E-3</v>
      </c>
      <c r="AD65" s="35">
        <v>3.7168623980903346E-3</v>
      </c>
      <c r="AE65" s="36">
        <f t="shared" si="17"/>
        <v>0</v>
      </c>
    </row>
    <row r="66" spans="1:31" s="2" customFormat="1" ht="16.149999999999999" customHeight="1" x14ac:dyDescent="0.2">
      <c r="A66" s="20">
        <v>62</v>
      </c>
      <c r="B66" s="21" t="s">
        <v>93</v>
      </c>
      <c r="C66" s="22">
        <v>4962</v>
      </c>
      <c r="D66" s="24">
        <f t="shared" si="0"/>
        <v>2.1379655633293666E-3</v>
      </c>
      <c r="E66" s="24">
        <f t="shared" si="1"/>
        <v>1.3682979605307945E-3</v>
      </c>
      <c r="F66" s="25">
        <v>28230</v>
      </c>
      <c r="G66" s="25">
        <v>4383</v>
      </c>
      <c r="H66" s="25">
        <f t="shared" si="2"/>
        <v>32613</v>
      </c>
      <c r="I66" s="26">
        <f t="shared" si="18"/>
        <v>3.0236764680197557E-5</v>
      </c>
      <c r="J66" s="26">
        <f t="shared" si="3"/>
        <v>9.9781323444651937E-6</v>
      </c>
      <c r="K66" s="27">
        <v>2240</v>
      </c>
      <c r="L66" s="27">
        <v>51700</v>
      </c>
      <c r="M66" s="25">
        <f t="shared" si="4"/>
        <v>53940</v>
      </c>
      <c r="N66" s="28">
        <f t="shared" si="19"/>
        <v>5.1510549426968758E-5</v>
      </c>
      <c r="O66" s="29">
        <f t="shared" si="10"/>
        <v>1.6998481310899691E-5</v>
      </c>
      <c r="P66" s="27">
        <v>83840</v>
      </c>
      <c r="Q66" s="27">
        <v>20662</v>
      </c>
      <c r="R66" s="25">
        <f t="shared" si="5"/>
        <v>104502</v>
      </c>
      <c r="S66" s="30">
        <f t="shared" si="6"/>
        <v>8.3482550514945666E-5</v>
      </c>
      <c r="T66" s="30">
        <f t="shared" si="7"/>
        <v>2.8384067175081529E-5</v>
      </c>
      <c r="U66" s="30">
        <f t="shared" si="11"/>
        <v>5.5360680830446414E-5</v>
      </c>
      <c r="V66" s="31">
        <f t="shared" si="8"/>
        <v>2.4912306373700886E-6</v>
      </c>
      <c r="W66" s="30">
        <f t="shared" si="12"/>
        <v>1.6696510102989133E-6</v>
      </c>
      <c r="X66" s="31">
        <v>53.861120986884899</v>
      </c>
      <c r="Y66" s="32">
        <f t="shared" si="13"/>
        <v>7040.1887317440269</v>
      </c>
      <c r="Z66" s="33">
        <f t="shared" si="14"/>
        <v>3.0487657354070826E-3</v>
      </c>
      <c r="AA66" s="33">
        <f t="shared" si="15"/>
        <v>7.6219143385177073E-5</v>
      </c>
      <c r="AB66" s="33">
        <f t="shared" si="16"/>
        <v>2.5471698113207547E-3</v>
      </c>
      <c r="AC66" s="34">
        <f t="shared" si="9"/>
        <v>3.9958477968843956E-3</v>
      </c>
      <c r="AD66" s="35">
        <v>3.9958477968843956E-3</v>
      </c>
      <c r="AE66" s="36">
        <f t="shared" si="17"/>
        <v>0</v>
      </c>
    </row>
    <row r="67" spans="1:31" s="2" customFormat="1" ht="16.149999999999999" customHeight="1" x14ac:dyDescent="0.2">
      <c r="A67" s="20">
        <v>63</v>
      </c>
      <c r="B67" s="21" t="s">
        <v>94</v>
      </c>
      <c r="C67" s="22">
        <v>5631</v>
      </c>
      <c r="D67" s="24">
        <f t="shared" si="0"/>
        <v>2.4262160594735313E-3</v>
      </c>
      <c r="E67" s="24">
        <f t="shared" si="1"/>
        <v>1.5527782780630601E-3</v>
      </c>
      <c r="F67" s="25">
        <v>47675</v>
      </c>
      <c r="G67" s="25">
        <v>314</v>
      </c>
      <c r="H67" s="25">
        <f t="shared" si="2"/>
        <v>47989</v>
      </c>
      <c r="I67" s="26">
        <f t="shared" si="18"/>
        <v>4.4492444737926614E-5</v>
      </c>
      <c r="J67" s="26">
        <f t="shared" si="3"/>
        <v>1.4682506763515783E-5</v>
      </c>
      <c r="K67" s="27">
        <v>63670</v>
      </c>
      <c r="L67" s="27">
        <v>40700</v>
      </c>
      <c r="M67" s="25">
        <f t="shared" si="4"/>
        <v>104370</v>
      </c>
      <c r="N67" s="28">
        <f t="shared" si="19"/>
        <v>9.9669188796676478E-5</v>
      </c>
      <c r="O67" s="29">
        <f t="shared" si="10"/>
        <v>3.2890832302903239E-5</v>
      </c>
      <c r="P67" s="27">
        <v>57225</v>
      </c>
      <c r="Q67" s="27">
        <v>530</v>
      </c>
      <c r="R67" s="25">
        <f t="shared" si="5"/>
        <v>57755</v>
      </c>
      <c r="S67" s="30">
        <f t="shared" si="6"/>
        <v>4.6138205058187279E-5</v>
      </c>
      <c r="T67" s="30">
        <f t="shared" si="7"/>
        <v>1.5686989719783676E-5</v>
      </c>
      <c r="U67" s="30">
        <f t="shared" si="11"/>
        <v>6.3260328786202705E-5</v>
      </c>
      <c r="V67" s="31">
        <f t="shared" si="8"/>
        <v>2.8467147953791216E-6</v>
      </c>
      <c r="W67" s="30">
        <f t="shared" si="12"/>
        <v>9.2276410116374564E-7</v>
      </c>
      <c r="X67" s="31">
        <v>53.765815015636697</v>
      </c>
      <c r="Y67" s="32">
        <f t="shared" si="13"/>
        <v>8067.5186861958764</v>
      </c>
      <c r="Z67" s="33">
        <f t="shared" si="14"/>
        <v>3.4936527240140235E-3</v>
      </c>
      <c r="AA67" s="33">
        <f t="shared" si="15"/>
        <v>8.7341318100350588E-5</v>
      </c>
      <c r="AB67" s="33">
        <f t="shared" si="16"/>
        <v>2.5471698113207547E-3</v>
      </c>
      <c r="AC67" s="34">
        <f t="shared" si="9"/>
        <v>4.1910588863807085E-3</v>
      </c>
      <c r="AD67" s="35">
        <v>4.1910588863807085E-3</v>
      </c>
      <c r="AE67" s="36">
        <f t="shared" si="17"/>
        <v>0</v>
      </c>
    </row>
    <row r="68" spans="1:31" s="2" customFormat="1" ht="16.149999999999999" customHeight="1" x14ac:dyDescent="0.2">
      <c r="A68" s="20">
        <v>64</v>
      </c>
      <c r="B68" s="21" t="s">
        <v>95</v>
      </c>
      <c r="C68" s="22">
        <v>1701</v>
      </c>
      <c r="D68" s="24">
        <f t="shared" si="0"/>
        <v>7.3290597001677801E-4</v>
      </c>
      <c r="E68" s="24">
        <f t="shared" si="1"/>
        <v>4.6905982081073792E-4</v>
      </c>
      <c r="F68" s="25">
        <v>0</v>
      </c>
      <c r="G68" s="25">
        <v>0</v>
      </c>
      <c r="H68" s="25">
        <f t="shared" si="2"/>
        <v>0</v>
      </c>
      <c r="I68" s="26">
        <f t="shared" si="18"/>
        <v>0</v>
      </c>
      <c r="J68" s="26">
        <f t="shared" si="3"/>
        <v>0</v>
      </c>
      <c r="K68" s="27">
        <v>0</v>
      </c>
      <c r="L68" s="27">
        <v>0</v>
      </c>
      <c r="M68" s="25">
        <f t="shared" si="4"/>
        <v>0</v>
      </c>
      <c r="N68" s="28">
        <f t="shared" si="19"/>
        <v>0</v>
      </c>
      <c r="O68" s="29">
        <f t="shared" si="10"/>
        <v>0</v>
      </c>
      <c r="P68" s="27">
        <v>0</v>
      </c>
      <c r="Q68" s="27">
        <v>0</v>
      </c>
      <c r="R68" s="25">
        <f t="shared" si="5"/>
        <v>0</v>
      </c>
      <c r="S68" s="30">
        <f t="shared" si="6"/>
        <v>0</v>
      </c>
      <c r="T68" s="30">
        <f t="shared" si="7"/>
        <v>0</v>
      </c>
      <c r="U68" s="30">
        <f t="shared" si="11"/>
        <v>0</v>
      </c>
      <c r="V68" s="31">
        <f t="shared" si="8"/>
        <v>0</v>
      </c>
      <c r="W68" s="30">
        <f t="shared" si="12"/>
        <v>0</v>
      </c>
      <c r="X68" s="31">
        <v>53.841807072409097</v>
      </c>
      <c r="Y68" s="32">
        <f t="shared" si="13"/>
        <v>2418.1975463275548</v>
      </c>
      <c r="Z68" s="33">
        <f t="shared" si="14"/>
        <v>1.0472045710147571E-3</v>
      </c>
      <c r="AA68" s="33">
        <f t="shared" si="15"/>
        <v>2.6180114275368929E-5</v>
      </c>
      <c r="AB68" s="33">
        <f t="shared" si="16"/>
        <v>2.5471698113207547E-3</v>
      </c>
      <c r="AC68" s="34">
        <f t="shared" si="9"/>
        <v>3.0424097464068615E-3</v>
      </c>
      <c r="AD68" s="35">
        <v>3.0424097464068615E-3</v>
      </c>
      <c r="AE68" s="36">
        <f t="shared" si="17"/>
        <v>0</v>
      </c>
    </row>
    <row r="69" spans="1:31" s="2" customFormat="1" ht="16.149999999999999" customHeight="1" x14ac:dyDescent="0.2">
      <c r="A69" s="20">
        <v>65</v>
      </c>
      <c r="B69" s="21" t="s">
        <v>96</v>
      </c>
      <c r="C69" s="22">
        <v>2118</v>
      </c>
      <c r="D69" s="24">
        <f t="shared" ref="D69:D110" si="20">C69/$C$112</f>
        <v>9.1257780393623499E-4</v>
      </c>
      <c r="E69" s="24">
        <f t="shared" ref="E69:E110" si="21">D69*0.64</f>
        <v>5.8404979451919046E-4</v>
      </c>
      <c r="F69" s="25">
        <v>50482.45</v>
      </c>
      <c r="G69" s="25">
        <v>57468</v>
      </c>
      <c r="H69" s="25">
        <f t="shared" ref="H69:H110" si="22">F69+G69</f>
        <v>107950.45</v>
      </c>
      <c r="I69" s="26">
        <f t="shared" si="18"/>
        <v>1.000850076279837E-4</v>
      </c>
      <c r="J69" s="26">
        <f t="shared" ref="J69:J110" si="23">I69*0.33</f>
        <v>3.3028052517234623E-5</v>
      </c>
      <c r="K69" s="27">
        <v>14146.33</v>
      </c>
      <c r="L69" s="27">
        <v>15000</v>
      </c>
      <c r="M69" s="25">
        <f t="shared" ref="M69:M110" si="24">K69+L69</f>
        <v>29146.33</v>
      </c>
      <c r="N69" s="28">
        <f t="shared" si="19"/>
        <v>2.783358309380316E-5</v>
      </c>
      <c r="O69" s="29">
        <f t="shared" si="10"/>
        <v>9.1850824209550429E-6</v>
      </c>
      <c r="P69" s="27">
        <v>29568.15</v>
      </c>
      <c r="Q69" s="27">
        <v>23027</v>
      </c>
      <c r="R69" s="25">
        <f t="shared" ref="R69:R110" si="25">P69+Q69</f>
        <v>52595.15</v>
      </c>
      <c r="S69" s="30">
        <f t="shared" ref="S69:S110" si="26">R69/$R$112</f>
        <v>4.2016203199136329E-5</v>
      </c>
      <c r="T69" s="30">
        <f t="shared" ref="T69:T110" si="27">S69*0.34</f>
        <v>1.4285509087706352E-5</v>
      </c>
      <c r="U69" s="30">
        <f t="shared" si="11"/>
        <v>5.6498644025896022E-5</v>
      </c>
      <c r="V69" s="31">
        <f t="shared" ref="V69:V110" si="28">U69*0.045</f>
        <v>2.5424389811653208E-6</v>
      </c>
      <c r="W69" s="30">
        <f t="shared" si="12"/>
        <v>8.4032406398272664E-7</v>
      </c>
      <c r="X69" s="31">
        <v>55.898255398957801</v>
      </c>
      <c r="Y69" s="32">
        <f t="shared" si="13"/>
        <v>2376.8492814650704</v>
      </c>
      <c r="Z69" s="33">
        <f t="shared" si="14"/>
        <v>1.0292986344078486E-3</v>
      </c>
      <c r="AA69" s="33">
        <f t="shared" si="15"/>
        <v>2.5732465860196218E-5</v>
      </c>
      <c r="AB69" s="33">
        <f t="shared" si="16"/>
        <v>2.5471698113207547E-3</v>
      </c>
      <c r="AC69" s="34">
        <f t="shared" ref="AC69:AC110" si="29">E69+V69+W69+AA69+AB69</f>
        <v>3.1603348347452893E-3</v>
      </c>
      <c r="AD69" s="35">
        <v>3.1603348347452893E-3</v>
      </c>
      <c r="AE69" s="36">
        <f t="shared" si="17"/>
        <v>0</v>
      </c>
    </row>
    <row r="70" spans="1:31" s="2" customFormat="1" ht="16.149999999999999" customHeight="1" x14ac:dyDescent="0.2">
      <c r="A70" s="20">
        <v>66</v>
      </c>
      <c r="B70" s="21" t="s">
        <v>97</v>
      </c>
      <c r="C70" s="22">
        <v>4220</v>
      </c>
      <c r="D70" s="24">
        <f t="shared" si="20"/>
        <v>1.8182617245566155E-3</v>
      </c>
      <c r="E70" s="24">
        <f t="shared" si="21"/>
        <v>1.1636875037162339E-3</v>
      </c>
      <c r="F70" s="25">
        <v>195598.8</v>
      </c>
      <c r="G70" s="25">
        <v>13865</v>
      </c>
      <c r="H70" s="25">
        <f t="shared" si="22"/>
        <v>209463.8</v>
      </c>
      <c r="I70" s="26">
        <f t="shared" si="18"/>
        <v>1.9420193265323537E-4</v>
      </c>
      <c r="J70" s="26">
        <f t="shared" si="23"/>
        <v>6.4086637775567678E-5</v>
      </c>
      <c r="K70" s="27">
        <v>232801.6</v>
      </c>
      <c r="L70" s="27">
        <v>7077.5</v>
      </c>
      <c r="M70" s="25">
        <f t="shared" si="24"/>
        <v>239879.1</v>
      </c>
      <c r="N70" s="28">
        <f t="shared" si="19"/>
        <v>2.2907497658596185E-4</v>
      </c>
      <c r="O70" s="29">
        <f t="shared" ref="O70:O110" si="30">N70*0.33</f>
        <v>7.5594742273367413E-5</v>
      </c>
      <c r="P70" s="27">
        <v>355436</v>
      </c>
      <c r="Q70" s="27">
        <v>10620</v>
      </c>
      <c r="R70" s="25">
        <f t="shared" si="25"/>
        <v>366056</v>
      </c>
      <c r="S70" s="30">
        <f t="shared" si="26"/>
        <v>2.9242778617920181E-4</v>
      </c>
      <c r="T70" s="30">
        <f t="shared" si="27"/>
        <v>9.9425447300928628E-5</v>
      </c>
      <c r="U70" s="30">
        <f t="shared" ref="U70:U110" si="31">J70+O70+T70</f>
        <v>2.3910682734986372E-4</v>
      </c>
      <c r="V70" s="31">
        <f t="shared" si="28"/>
        <v>1.0759807230743868E-5</v>
      </c>
      <c r="W70" s="30">
        <f t="shared" ref="W70:W110" si="32">S70*0.02</f>
        <v>5.8485557235840366E-6</v>
      </c>
      <c r="X70" s="31">
        <v>51.8906868964079</v>
      </c>
      <c r="Y70" s="32">
        <f t="shared" ref="Y70:Y110" si="33">C70*(9.261-0.1456*X70)</f>
        <v>7198.1214688662976</v>
      </c>
      <c r="Z70" s="33">
        <f t="shared" ref="Z70:Z110" si="34">Y70/$Y$112</f>
        <v>3.1171587765291709E-3</v>
      </c>
      <c r="AA70" s="33">
        <f t="shared" ref="AA70:AA110" si="35">Z70*0.025</f>
        <v>7.7928969413229273E-5</v>
      </c>
      <c r="AB70" s="33">
        <f t="shared" ref="AB70:AB110" si="36">0.27/106</f>
        <v>2.5471698113207547E-3</v>
      </c>
      <c r="AC70" s="34">
        <f t="shared" si="29"/>
        <v>3.8053946474045459E-3</v>
      </c>
      <c r="AD70" s="35">
        <v>3.8053946474045459E-3</v>
      </c>
      <c r="AE70" s="36">
        <f t="shared" ref="AE70:AE110" si="37">AD70-AC70</f>
        <v>0</v>
      </c>
    </row>
    <row r="71" spans="1:31" s="2" customFormat="1" ht="16.149999999999999" customHeight="1" x14ac:dyDescent="0.2">
      <c r="A71" s="20">
        <v>67</v>
      </c>
      <c r="B71" s="21" t="s">
        <v>98</v>
      </c>
      <c r="C71" s="22">
        <v>10053</v>
      </c>
      <c r="D71" s="24">
        <f t="shared" si="20"/>
        <v>4.3315130608928094E-3</v>
      </c>
      <c r="E71" s="24">
        <f t="shared" si="21"/>
        <v>2.7721683589713979E-3</v>
      </c>
      <c r="F71" s="25">
        <v>185122</v>
      </c>
      <c r="G71" s="25">
        <v>1800</v>
      </c>
      <c r="H71" s="25">
        <f t="shared" si="22"/>
        <v>186922</v>
      </c>
      <c r="I71" s="26">
        <f t="shared" ref="I71:I110" si="38">H71/$H$112</f>
        <v>1.7330256423977823E-4</v>
      </c>
      <c r="J71" s="26">
        <f t="shared" si="23"/>
        <v>5.7189846199126819E-5</v>
      </c>
      <c r="K71" s="27">
        <v>125684.63</v>
      </c>
      <c r="L71" s="27">
        <v>25222</v>
      </c>
      <c r="M71" s="25">
        <f t="shared" si="24"/>
        <v>150906.63</v>
      </c>
      <c r="N71" s="28">
        <f t="shared" ref="N71:N110" si="39">M71/$M$112</f>
        <v>1.441098150439801E-4</v>
      </c>
      <c r="O71" s="29">
        <f t="shared" si="30"/>
        <v>4.7556238964513437E-5</v>
      </c>
      <c r="P71" s="27">
        <v>267402</v>
      </c>
      <c r="Q71" s="27">
        <v>0</v>
      </c>
      <c r="R71" s="25">
        <f t="shared" si="25"/>
        <v>267402</v>
      </c>
      <c r="S71" s="30">
        <f t="shared" si="26"/>
        <v>2.1361697357751526E-4</v>
      </c>
      <c r="T71" s="30">
        <f t="shared" si="27"/>
        <v>7.2629771016355198E-5</v>
      </c>
      <c r="U71" s="30">
        <f t="shared" si="31"/>
        <v>1.7737585617999546E-4</v>
      </c>
      <c r="V71" s="31">
        <f t="shared" si="28"/>
        <v>7.9819135280997954E-6</v>
      </c>
      <c r="W71" s="30">
        <f t="shared" si="32"/>
        <v>4.2723394715503049E-6</v>
      </c>
      <c r="X71" s="31">
        <v>55.445318645896997</v>
      </c>
      <c r="Y71" s="32">
        <f t="shared" si="33"/>
        <v>11944.588616647296</v>
      </c>
      <c r="Z71" s="33">
        <f t="shared" si="34"/>
        <v>5.172624468683322E-3</v>
      </c>
      <c r="AA71" s="33">
        <f t="shared" si="35"/>
        <v>1.2931561171708307E-4</v>
      </c>
      <c r="AB71" s="33">
        <f t="shared" si="36"/>
        <v>2.5471698113207547E-3</v>
      </c>
      <c r="AC71" s="34">
        <f t="shared" si="29"/>
        <v>5.4609080350088851E-3</v>
      </c>
      <c r="AD71" s="35">
        <v>5.4609080350088851E-3</v>
      </c>
      <c r="AE71" s="36">
        <f t="shared" si="37"/>
        <v>0</v>
      </c>
    </row>
    <row r="72" spans="1:31" s="2" customFormat="1" ht="16.149999999999999" customHeight="1" x14ac:dyDescent="0.2">
      <c r="A72" s="20">
        <v>68</v>
      </c>
      <c r="B72" s="21" t="s">
        <v>99</v>
      </c>
      <c r="C72" s="22">
        <v>3206</v>
      </c>
      <c r="D72" s="24">
        <f t="shared" si="20"/>
        <v>1.3813618694143387E-3</v>
      </c>
      <c r="E72" s="24">
        <f t="shared" si="21"/>
        <v>8.8407159642517677E-4</v>
      </c>
      <c r="F72" s="25">
        <v>791186</v>
      </c>
      <c r="G72" s="25">
        <v>70210</v>
      </c>
      <c r="H72" s="25">
        <f t="shared" si="22"/>
        <v>861396</v>
      </c>
      <c r="I72" s="26">
        <f t="shared" si="38"/>
        <v>7.9863331028925445E-4</v>
      </c>
      <c r="J72" s="26">
        <f t="shared" si="23"/>
        <v>2.6354899239545396E-4</v>
      </c>
      <c r="K72" s="27">
        <v>362008</v>
      </c>
      <c r="L72" s="27">
        <v>28575</v>
      </c>
      <c r="M72" s="25">
        <f t="shared" si="24"/>
        <v>390583</v>
      </c>
      <c r="N72" s="28">
        <f t="shared" si="39"/>
        <v>3.7299119256273153E-4</v>
      </c>
      <c r="O72" s="29">
        <f t="shared" si="30"/>
        <v>1.230870935457014E-4</v>
      </c>
      <c r="P72" s="27">
        <v>3004816.4</v>
      </c>
      <c r="Q72" s="27">
        <v>60326</v>
      </c>
      <c r="R72" s="25">
        <f t="shared" si="25"/>
        <v>3065142.4</v>
      </c>
      <c r="S72" s="30">
        <f t="shared" si="26"/>
        <v>2.4486220861179861E-3</v>
      </c>
      <c r="T72" s="30">
        <f t="shared" si="27"/>
        <v>8.3253150928011533E-4</v>
      </c>
      <c r="U72" s="30">
        <f t="shared" si="31"/>
        <v>1.2191675952212707E-3</v>
      </c>
      <c r="V72" s="31">
        <f t="shared" si="28"/>
        <v>5.486254178495718E-5</v>
      </c>
      <c r="W72" s="30">
        <f t="shared" si="32"/>
        <v>4.8972441722359724E-5</v>
      </c>
      <c r="X72" s="31">
        <v>54.318587521295797</v>
      </c>
      <c r="Y72" s="32">
        <f t="shared" si="33"/>
        <v>4335.196984019256</v>
      </c>
      <c r="Z72" s="33">
        <f t="shared" si="34"/>
        <v>1.8773644464278245E-3</v>
      </c>
      <c r="AA72" s="33">
        <f t="shared" si="35"/>
        <v>4.6934111160695613E-5</v>
      </c>
      <c r="AB72" s="33">
        <f t="shared" si="36"/>
        <v>2.5471698113207547E-3</v>
      </c>
      <c r="AC72" s="34">
        <f t="shared" si="29"/>
        <v>3.5820105024139438E-3</v>
      </c>
      <c r="AD72" s="35">
        <v>3.5820105024139438E-3</v>
      </c>
      <c r="AE72" s="36">
        <f t="shared" si="37"/>
        <v>0</v>
      </c>
    </row>
    <row r="73" spans="1:31" s="2" customFormat="1" ht="16.149999999999999" customHeight="1" x14ac:dyDescent="0.2">
      <c r="A73" s="20">
        <v>69</v>
      </c>
      <c r="B73" s="21" t="s">
        <v>100</v>
      </c>
      <c r="C73" s="22">
        <v>8967</v>
      </c>
      <c r="D73" s="24">
        <f t="shared" si="20"/>
        <v>3.8635907308291876E-3</v>
      </c>
      <c r="E73" s="24">
        <f t="shared" si="21"/>
        <v>2.4726980677306802E-3</v>
      </c>
      <c r="F73" s="25">
        <v>50318</v>
      </c>
      <c r="G73" s="25">
        <v>735</v>
      </c>
      <c r="H73" s="25">
        <f t="shared" si="22"/>
        <v>51053</v>
      </c>
      <c r="I73" s="26">
        <f t="shared" si="38"/>
        <v>4.7333196799378344E-5</v>
      </c>
      <c r="J73" s="26">
        <f t="shared" si="23"/>
        <v>1.5619954943794854E-5</v>
      </c>
      <c r="K73" s="27">
        <v>1010</v>
      </c>
      <c r="L73" s="27">
        <v>1050</v>
      </c>
      <c r="M73" s="25">
        <f t="shared" si="24"/>
        <v>2060</v>
      </c>
      <c r="N73" s="28">
        <f t="shared" si="39"/>
        <v>1.9672178683640277E-6</v>
      </c>
      <c r="O73" s="29">
        <f t="shared" si="30"/>
        <v>6.4918189656012917E-7</v>
      </c>
      <c r="P73" s="27">
        <v>22345</v>
      </c>
      <c r="Q73" s="27">
        <v>12380</v>
      </c>
      <c r="R73" s="25">
        <f t="shared" si="25"/>
        <v>34725</v>
      </c>
      <c r="S73" s="30">
        <f t="shared" si="26"/>
        <v>2.7740441011956597E-5</v>
      </c>
      <c r="T73" s="30">
        <f t="shared" si="27"/>
        <v>9.4317499440652442E-6</v>
      </c>
      <c r="U73" s="30">
        <f t="shared" si="31"/>
        <v>2.5700886784420226E-5</v>
      </c>
      <c r="V73" s="31">
        <f t="shared" si="28"/>
        <v>1.1565399052989102E-6</v>
      </c>
      <c r="W73" s="30">
        <f t="shared" si="32"/>
        <v>5.54808820239132E-7</v>
      </c>
      <c r="X73" s="31">
        <v>52.165796274229599</v>
      </c>
      <c r="Y73" s="32">
        <f t="shared" si="33"/>
        <v>14935.973780187944</v>
      </c>
      <c r="Z73" s="33">
        <f t="shared" si="34"/>
        <v>6.4680489147476514E-3</v>
      </c>
      <c r="AA73" s="33">
        <f t="shared" si="35"/>
        <v>1.6170122286869129E-4</v>
      </c>
      <c r="AB73" s="33">
        <f t="shared" si="36"/>
        <v>2.5471698113207547E-3</v>
      </c>
      <c r="AC73" s="34">
        <f t="shared" si="29"/>
        <v>5.1832804506456633E-3</v>
      </c>
      <c r="AD73" s="35">
        <v>5.1832804506456633E-3</v>
      </c>
      <c r="AE73" s="36">
        <f t="shared" si="37"/>
        <v>0</v>
      </c>
    </row>
    <row r="74" spans="1:31" s="2" customFormat="1" ht="16.149999999999999" customHeight="1" x14ac:dyDescent="0.2">
      <c r="A74" s="20">
        <v>70</v>
      </c>
      <c r="B74" s="21" t="s">
        <v>101</v>
      </c>
      <c r="C74" s="22">
        <v>3971</v>
      </c>
      <c r="D74" s="24">
        <f t="shared" si="20"/>
        <v>1.7109756654536303E-3</v>
      </c>
      <c r="E74" s="24">
        <f t="shared" si="21"/>
        <v>1.0950244258903234E-3</v>
      </c>
      <c r="F74" s="25">
        <v>102897.32</v>
      </c>
      <c r="G74" s="25">
        <v>536345</v>
      </c>
      <c r="H74" s="25">
        <f t="shared" si="22"/>
        <v>639242.32000000007</v>
      </c>
      <c r="I74" s="26">
        <f t="shared" si="38"/>
        <v>5.926661025806748E-4</v>
      </c>
      <c r="J74" s="26">
        <f t="shared" si="23"/>
        <v>1.9557981385162268E-4</v>
      </c>
      <c r="K74" s="27">
        <v>82675.929999999993</v>
      </c>
      <c r="L74" s="27">
        <v>336122.77</v>
      </c>
      <c r="M74" s="25">
        <f t="shared" si="24"/>
        <v>418798.7</v>
      </c>
      <c r="N74" s="28">
        <f t="shared" si="39"/>
        <v>3.99936061110498E-4</v>
      </c>
      <c r="O74" s="29">
        <f t="shared" si="30"/>
        <v>1.3197890016646433E-4</v>
      </c>
      <c r="P74" s="27">
        <v>76656.7</v>
      </c>
      <c r="Q74" s="27">
        <v>390060</v>
      </c>
      <c r="R74" s="25">
        <f t="shared" si="25"/>
        <v>466716.7</v>
      </c>
      <c r="S74" s="30">
        <f t="shared" si="26"/>
        <v>3.7284167273275861E-4</v>
      </c>
      <c r="T74" s="30">
        <f t="shared" si="27"/>
        <v>1.2676616872913795E-4</v>
      </c>
      <c r="U74" s="30">
        <f t="shared" si="31"/>
        <v>4.5432488274722491E-4</v>
      </c>
      <c r="V74" s="31">
        <f t="shared" si="28"/>
        <v>2.0444619723625122E-5</v>
      </c>
      <c r="W74" s="30">
        <f t="shared" si="32"/>
        <v>7.4568334546551723E-6</v>
      </c>
      <c r="X74" s="31">
        <v>54.558086766794098</v>
      </c>
      <c r="Y74" s="32">
        <f t="shared" si="33"/>
        <v>5231.1673325832244</v>
      </c>
      <c r="Z74" s="33">
        <f t="shared" si="34"/>
        <v>2.2653659337069708E-3</v>
      </c>
      <c r="AA74" s="33">
        <f t="shared" si="35"/>
        <v>5.6634148342674272E-5</v>
      </c>
      <c r="AB74" s="33">
        <f t="shared" si="36"/>
        <v>2.5471698113207547E-3</v>
      </c>
      <c r="AC74" s="34">
        <f t="shared" si="29"/>
        <v>3.7267298387320329E-3</v>
      </c>
      <c r="AD74" s="35">
        <v>3.7267298387320329E-3</v>
      </c>
      <c r="AE74" s="36">
        <f t="shared" si="37"/>
        <v>0</v>
      </c>
    </row>
    <row r="75" spans="1:31" s="2" customFormat="1" ht="16.149999999999999" customHeight="1" x14ac:dyDescent="0.2">
      <c r="A75" s="20">
        <v>71</v>
      </c>
      <c r="B75" s="21" t="s">
        <v>102</v>
      </c>
      <c r="C75" s="22">
        <v>1949</v>
      </c>
      <c r="D75" s="24">
        <f t="shared" si="20"/>
        <v>8.397611614125222E-4</v>
      </c>
      <c r="E75" s="24">
        <f t="shared" si="21"/>
        <v>5.374471433040142E-4</v>
      </c>
      <c r="F75" s="25">
        <v>13901.9</v>
      </c>
      <c r="G75" s="25">
        <v>0</v>
      </c>
      <c r="H75" s="25">
        <f t="shared" si="22"/>
        <v>13901.9</v>
      </c>
      <c r="I75" s="26">
        <f t="shared" si="38"/>
        <v>1.2888985340435974E-5</v>
      </c>
      <c r="J75" s="26">
        <f t="shared" si="23"/>
        <v>4.2533651623438719E-6</v>
      </c>
      <c r="K75" s="27">
        <v>22964.26</v>
      </c>
      <c r="L75" s="27">
        <v>1050</v>
      </c>
      <c r="M75" s="25">
        <f t="shared" si="24"/>
        <v>24014.26</v>
      </c>
      <c r="N75" s="28">
        <f t="shared" si="39"/>
        <v>2.2932660858028897E-5</v>
      </c>
      <c r="O75" s="29">
        <f t="shared" si="30"/>
        <v>7.5677780831495369E-6</v>
      </c>
      <c r="P75" s="27">
        <v>8835.5</v>
      </c>
      <c r="Q75" s="27">
        <v>0</v>
      </c>
      <c r="R75" s="25">
        <f t="shared" si="25"/>
        <v>8835.5</v>
      </c>
      <c r="S75" s="30">
        <f t="shared" si="26"/>
        <v>7.0583345301984881E-6</v>
      </c>
      <c r="T75" s="30">
        <f t="shared" si="27"/>
        <v>2.3998337402674861E-6</v>
      </c>
      <c r="U75" s="30">
        <f t="shared" si="31"/>
        <v>1.4220976985760895E-5</v>
      </c>
      <c r="V75" s="31">
        <f t="shared" si="28"/>
        <v>6.3994396435924026E-7</v>
      </c>
      <c r="W75" s="30">
        <f t="shared" si="32"/>
        <v>1.4116669060396977E-7</v>
      </c>
      <c r="X75" s="31">
        <v>52.130863354221503</v>
      </c>
      <c r="Y75" s="32">
        <f t="shared" si="33"/>
        <v>3256.2845301738025</v>
      </c>
      <c r="Z75" s="33">
        <f t="shared" si="34"/>
        <v>1.4101395684985732E-3</v>
      </c>
      <c r="AA75" s="33">
        <f t="shared" si="35"/>
        <v>3.5253489212464331E-5</v>
      </c>
      <c r="AB75" s="33">
        <f t="shared" si="36"/>
        <v>2.5471698113207547E-3</v>
      </c>
      <c r="AC75" s="34">
        <f t="shared" si="29"/>
        <v>3.1206515544921964E-3</v>
      </c>
      <c r="AD75" s="35">
        <v>3.1206515544921964E-3</v>
      </c>
      <c r="AE75" s="36">
        <f t="shared" si="37"/>
        <v>0</v>
      </c>
    </row>
    <row r="76" spans="1:31" s="2" customFormat="1" ht="16.149999999999999" customHeight="1" x14ac:dyDescent="0.2">
      <c r="A76" s="20">
        <v>72</v>
      </c>
      <c r="B76" s="39" t="s">
        <v>103</v>
      </c>
      <c r="C76" s="22">
        <v>1857</v>
      </c>
      <c r="D76" s="24">
        <f t="shared" si="20"/>
        <v>8.0012133234635908E-4</v>
      </c>
      <c r="E76" s="24">
        <f t="shared" si="21"/>
        <v>5.1207765270166984E-4</v>
      </c>
      <c r="F76" s="25">
        <v>18648</v>
      </c>
      <c r="G76" s="25">
        <v>33375</v>
      </c>
      <c r="H76" s="25">
        <f t="shared" si="22"/>
        <v>52023</v>
      </c>
      <c r="I76" s="26">
        <f t="shared" si="38"/>
        <v>4.8232521048597723E-5</v>
      </c>
      <c r="J76" s="26">
        <f t="shared" si="23"/>
        <v>1.5916731946037249E-5</v>
      </c>
      <c r="K76" s="27">
        <v>15755</v>
      </c>
      <c r="L76" s="27">
        <v>70265</v>
      </c>
      <c r="M76" s="25">
        <f t="shared" si="24"/>
        <v>86020</v>
      </c>
      <c r="N76" s="28">
        <f t="shared" si="39"/>
        <v>8.2145670406152257E-5</v>
      </c>
      <c r="O76" s="29">
        <f t="shared" si="30"/>
        <v>2.7108071234030246E-5</v>
      </c>
      <c r="P76" s="27">
        <v>21000</v>
      </c>
      <c r="Q76" s="27">
        <v>25815</v>
      </c>
      <c r="R76" s="25">
        <f t="shared" si="25"/>
        <v>46815</v>
      </c>
      <c r="S76" s="30">
        <f t="shared" si="26"/>
        <v>3.7398667990633493E-5</v>
      </c>
      <c r="T76" s="30">
        <f t="shared" si="27"/>
        <v>1.2715547116815389E-5</v>
      </c>
      <c r="U76" s="30">
        <f t="shared" si="31"/>
        <v>5.5740350296882889E-5</v>
      </c>
      <c r="V76" s="31">
        <f t="shared" si="28"/>
        <v>2.5083157633597301E-6</v>
      </c>
      <c r="W76" s="30">
        <f t="shared" si="32"/>
        <v>7.4797335981266988E-7</v>
      </c>
      <c r="X76" s="31">
        <v>55.370508882856697</v>
      </c>
      <c r="Y76" s="32">
        <f t="shared" si="33"/>
        <v>2226.6431046603093</v>
      </c>
      <c r="Z76" s="33">
        <f t="shared" si="34"/>
        <v>9.6425159340680292E-4</v>
      </c>
      <c r="AA76" s="33">
        <f t="shared" si="35"/>
        <v>2.4106289835170074E-5</v>
      </c>
      <c r="AB76" s="33">
        <f t="shared" si="36"/>
        <v>2.5471698113207547E-3</v>
      </c>
      <c r="AC76" s="34">
        <f t="shared" si="29"/>
        <v>3.086610042980767E-3</v>
      </c>
      <c r="AD76" s="35">
        <v>3.086610042980767E-3</v>
      </c>
      <c r="AE76" s="36">
        <f t="shared" si="37"/>
        <v>0</v>
      </c>
    </row>
    <row r="77" spans="1:31" s="2" customFormat="1" ht="16.149999999999999" customHeight="1" x14ac:dyDescent="0.2">
      <c r="A77" s="20">
        <v>73</v>
      </c>
      <c r="B77" s="21" t="s">
        <v>104</v>
      </c>
      <c r="C77" s="22">
        <v>5854</v>
      </c>
      <c r="D77" s="24">
        <f t="shared" si="20"/>
        <v>2.522299558188253E-3</v>
      </c>
      <c r="E77" s="24">
        <f t="shared" si="21"/>
        <v>1.6142717172404819E-3</v>
      </c>
      <c r="F77" s="25">
        <v>0</v>
      </c>
      <c r="G77" s="25">
        <v>0</v>
      </c>
      <c r="H77" s="25">
        <f t="shared" si="22"/>
        <v>0</v>
      </c>
      <c r="I77" s="26">
        <f t="shared" si="38"/>
        <v>0</v>
      </c>
      <c r="J77" s="26">
        <f t="shared" si="23"/>
        <v>0</v>
      </c>
      <c r="K77" s="27">
        <v>0</v>
      </c>
      <c r="L77" s="27">
        <v>0</v>
      </c>
      <c r="M77" s="25">
        <f t="shared" si="24"/>
        <v>0</v>
      </c>
      <c r="N77" s="28">
        <f t="shared" si="39"/>
        <v>0</v>
      </c>
      <c r="O77" s="29">
        <f t="shared" si="30"/>
        <v>0</v>
      </c>
      <c r="P77" s="27">
        <v>0</v>
      </c>
      <c r="Q77" s="27">
        <v>0</v>
      </c>
      <c r="R77" s="25">
        <f t="shared" si="25"/>
        <v>0</v>
      </c>
      <c r="S77" s="30">
        <f t="shared" si="26"/>
        <v>0</v>
      </c>
      <c r="T77" s="30">
        <f t="shared" si="27"/>
        <v>0</v>
      </c>
      <c r="U77" s="30">
        <f t="shared" si="31"/>
        <v>0</v>
      </c>
      <c r="V77" s="31">
        <f t="shared" si="28"/>
        <v>0</v>
      </c>
      <c r="W77" s="30">
        <f t="shared" si="32"/>
        <v>0</v>
      </c>
      <c r="X77" s="31">
        <v>49.4453324912743</v>
      </c>
      <c r="Y77" s="32">
        <f t="shared" si="33"/>
        <v>12069.540635589279</v>
      </c>
      <c r="Z77" s="33">
        <f t="shared" si="34"/>
        <v>5.2267351535578007E-3</v>
      </c>
      <c r="AA77" s="33">
        <f t="shared" si="35"/>
        <v>1.3066837883894501E-4</v>
      </c>
      <c r="AB77" s="33">
        <f t="shared" si="36"/>
        <v>2.5471698113207547E-3</v>
      </c>
      <c r="AC77" s="34">
        <f t="shared" si="29"/>
        <v>4.2921099074001816E-3</v>
      </c>
      <c r="AD77" s="35">
        <v>4.2921099074001816E-3</v>
      </c>
      <c r="AE77" s="36">
        <f t="shared" si="37"/>
        <v>0</v>
      </c>
    </row>
    <row r="78" spans="1:31" s="2" customFormat="1" ht="16.149999999999999" customHeight="1" x14ac:dyDescent="0.2">
      <c r="A78" s="20">
        <v>74</v>
      </c>
      <c r="B78" s="21" t="s">
        <v>105</v>
      </c>
      <c r="C78" s="22">
        <v>3774</v>
      </c>
      <c r="D78" s="24">
        <f t="shared" si="20"/>
        <v>1.6260947271271723E-3</v>
      </c>
      <c r="E78" s="24">
        <f t="shared" si="21"/>
        <v>1.0407006253613904E-3</v>
      </c>
      <c r="F78" s="25">
        <v>28879</v>
      </c>
      <c r="G78" s="25">
        <v>67960</v>
      </c>
      <c r="H78" s="25">
        <f t="shared" si="22"/>
        <v>96839</v>
      </c>
      <c r="I78" s="26">
        <f t="shared" si="38"/>
        <v>8.9783155639335584E-5</v>
      </c>
      <c r="J78" s="26">
        <f t="shared" si="23"/>
        <v>2.9628441360980744E-5</v>
      </c>
      <c r="K78" s="27">
        <v>41023.5</v>
      </c>
      <c r="L78" s="27">
        <v>51380</v>
      </c>
      <c r="M78" s="25">
        <f t="shared" si="24"/>
        <v>92403.5</v>
      </c>
      <c r="N78" s="28">
        <f t="shared" si="39"/>
        <v>8.8241658397755055E-5</v>
      </c>
      <c r="O78" s="29">
        <f t="shared" si="30"/>
        <v>2.9119747271259171E-5</v>
      </c>
      <c r="P78" s="27">
        <v>44539.73</v>
      </c>
      <c r="Q78" s="27">
        <v>12275</v>
      </c>
      <c r="R78" s="25">
        <f t="shared" si="25"/>
        <v>56814.73</v>
      </c>
      <c r="S78" s="30">
        <f t="shared" si="26"/>
        <v>4.5387060221029258E-5</v>
      </c>
      <c r="T78" s="30">
        <f t="shared" si="27"/>
        <v>1.5431600475149948E-5</v>
      </c>
      <c r="U78" s="30">
        <f t="shared" si="31"/>
        <v>7.417978910738986E-5</v>
      </c>
      <c r="V78" s="31">
        <f t="shared" si="28"/>
        <v>3.3380905098325436E-6</v>
      </c>
      <c r="W78" s="30">
        <f t="shared" si="32"/>
        <v>9.0774120442058518E-7</v>
      </c>
      <c r="X78" s="31">
        <v>53.410734766216201</v>
      </c>
      <c r="Y78" s="32">
        <f t="shared" si="33"/>
        <v>5602.1143460788844</v>
      </c>
      <c r="Z78" s="33">
        <f t="shared" si="34"/>
        <v>2.4260051704504148E-3</v>
      </c>
      <c r="AA78" s="33">
        <f t="shared" si="35"/>
        <v>6.065012926126037E-5</v>
      </c>
      <c r="AB78" s="33">
        <f t="shared" si="36"/>
        <v>2.5471698113207547E-3</v>
      </c>
      <c r="AC78" s="34">
        <f t="shared" si="29"/>
        <v>3.6527663976576585E-3</v>
      </c>
      <c r="AD78" s="35">
        <v>3.6527663976576585E-3</v>
      </c>
      <c r="AE78" s="36">
        <f t="shared" si="37"/>
        <v>0</v>
      </c>
    </row>
    <row r="79" spans="1:31" s="2" customFormat="1" ht="16.149999999999999" customHeight="1" x14ac:dyDescent="0.2">
      <c r="A79" s="20">
        <v>75</v>
      </c>
      <c r="B79" s="21" t="s">
        <v>106</v>
      </c>
      <c r="C79" s="22">
        <v>6921</v>
      </c>
      <c r="D79" s="24">
        <f t="shared" si="20"/>
        <v>2.9820354018142976E-3</v>
      </c>
      <c r="E79" s="24">
        <f t="shared" si="21"/>
        <v>1.9085026571611504E-3</v>
      </c>
      <c r="F79" s="25">
        <v>0</v>
      </c>
      <c r="G79" s="25">
        <v>0</v>
      </c>
      <c r="H79" s="25">
        <f t="shared" si="22"/>
        <v>0</v>
      </c>
      <c r="I79" s="26">
        <f t="shared" si="38"/>
        <v>0</v>
      </c>
      <c r="J79" s="26">
        <f t="shared" si="23"/>
        <v>0</v>
      </c>
      <c r="K79" s="27">
        <v>33519</v>
      </c>
      <c r="L79" s="27">
        <v>28477.5</v>
      </c>
      <c r="M79" s="25">
        <f t="shared" si="24"/>
        <v>61996.5</v>
      </c>
      <c r="N79" s="28">
        <f t="shared" si="39"/>
        <v>5.9204185716519628E-5</v>
      </c>
      <c r="O79" s="29">
        <f t="shared" si="30"/>
        <v>1.9537381286451477E-5</v>
      </c>
      <c r="P79" s="27">
        <v>10040</v>
      </c>
      <c r="Q79" s="27">
        <v>4800</v>
      </c>
      <c r="R79" s="25">
        <f t="shared" si="25"/>
        <v>14840</v>
      </c>
      <c r="S79" s="30">
        <f t="shared" si="26"/>
        <v>1.1855094157449557E-5</v>
      </c>
      <c r="T79" s="30">
        <f t="shared" si="27"/>
        <v>4.03073201353285E-6</v>
      </c>
      <c r="U79" s="30">
        <f t="shared" si="31"/>
        <v>2.3568113299984326E-5</v>
      </c>
      <c r="V79" s="31">
        <f t="shared" si="28"/>
        <v>1.0605650984992947E-6</v>
      </c>
      <c r="W79" s="30">
        <f t="shared" si="32"/>
        <v>2.3710188314899114E-7</v>
      </c>
      <c r="X79" s="31">
        <v>50.657433654324002</v>
      </c>
      <c r="Y79" s="32">
        <f t="shared" si="33"/>
        <v>13048.006684378468</v>
      </c>
      <c r="Z79" s="33">
        <f t="shared" si="34"/>
        <v>5.6504615444934372E-3</v>
      </c>
      <c r="AA79" s="33">
        <f t="shared" si="35"/>
        <v>1.4126153861233594E-4</v>
      </c>
      <c r="AB79" s="33">
        <f t="shared" si="36"/>
        <v>2.5471698113207547E-3</v>
      </c>
      <c r="AC79" s="34">
        <f t="shared" si="29"/>
        <v>4.5982316740758892E-3</v>
      </c>
      <c r="AD79" s="35">
        <v>4.5982316740758892E-3</v>
      </c>
      <c r="AE79" s="36">
        <f t="shared" si="37"/>
        <v>0</v>
      </c>
    </row>
    <row r="80" spans="1:31" s="2" customFormat="1" ht="16.149999999999999" customHeight="1" x14ac:dyDescent="0.2">
      <c r="A80" s="20">
        <v>76</v>
      </c>
      <c r="B80" s="39" t="s">
        <v>107</v>
      </c>
      <c r="C80" s="22">
        <v>17939</v>
      </c>
      <c r="D80" s="24">
        <f t="shared" si="20"/>
        <v>7.7293358001945802E-3</v>
      </c>
      <c r="E80" s="24">
        <f t="shared" si="21"/>
        <v>4.9467749121245314E-3</v>
      </c>
      <c r="F80" s="25">
        <v>57254.5</v>
      </c>
      <c r="G80" s="25">
        <v>226075</v>
      </c>
      <c r="H80" s="25">
        <f t="shared" si="22"/>
        <v>283329.5</v>
      </c>
      <c r="I80" s="26">
        <f t="shared" si="38"/>
        <v>2.626856596589714E-4</v>
      </c>
      <c r="J80" s="26">
        <f t="shared" si="23"/>
        <v>8.6686267687460566E-5</v>
      </c>
      <c r="K80" s="27">
        <v>15687.41</v>
      </c>
      <c r="L80" s="27">
        <v>145773.85</v>
      </c>
      <c r="M80" s="25">
        <f t="shared" si="24"/>
        <v>161461.26</v>
      </c>
      <c r="N80" s="28">
        <f t="shared" si="39"/>
        <v>1.5418906588377185E-4</v>
      </c>
      <c r="O80" s="29">
        <f t="shared" si="30"/>
        <v>5.0882391741644716E-5</v>
      </c>
      <c r="P80" s="27">
        <v>42219.5</v>
      </c>
      <c r="Q80" s="27">
        <v>123084</v>
      </c>
      <c r="R80" s="25">
        <f t="shared" si="25"/>
        <v>165303.5</v>
      </c>
      <c r="S80" s="30">
        <f t="shared" si="26"/>
        <v>1.3205448497681692E-4</v>
      </c>
      <c r="T80" s="30">
        <f t="shared" si="27"/>
        <v>4.4898524892117756E-5</v>
      </c>
      <c r="U80" s="30">
        <f t="shared" si="31"/>
        <v>1.8246718432122304E-4</v>
      </c>
      <c r="V80" s="31">
        <f t="shared" si="28"/>
        <v>8.2110232944550369E-6</v>
      </c>
      <c r="W80" s="30">
        <f t="shared" si="32"/>
        <v>2.6410896995363383E-6</v>
      </c>
      <c r="X80" s="31">
        <v>52.989493663485597</v>
      </c>
      <c r="Y80" s="32">
        <f t="shared" si="33"/>
        <v>27728.845493658544</v>
      </c>
      <c r="Z80" s="33">
        <f t="shared" si="34"/>
        <v>1.20080238250262E-2</v>
      </c>
      <c r="AA80" s="33">
        <f t="shared" si="35"/>
        <v>3.00200595625655E-4</v>
      </c>
      <c r="AB80" s="33">
        <f t="shared" si="36"/>
        <v>2.5471698113207547E-3</v>
      </c>
      <c r="AC80" s="34">
        <f t="shared" si="29"/>
        <v>7.8049974320649326E-3</v>
      </c>
      <c r="AD80" s="35">
        <v>7.8049974320649326E-3</v>
      </c>
      <c r="AE80" s="36">
        <f t="shared" si="37"/>
        <v>0</v>
      </c>
    </row>
    <row r="81" spans="1:31" s="2" customFormat="1" ht="16.149999999999999" customHeight="1" x14ac:dyDescent="0.2">
      <c r="A81" s="20">
        <v>77</v>
      </c>
      <c r="B81" s="39" t="s">
        <v>108</v>
      </c>
      <c r="C81" s="22">
        <v>2683</v>
      </c>
      <c r="D81" s="24">
        <f t="shared" si="20"/>
        <v>1.1560180585273459E-3</v>
      </c>
      <c r="E81" s="24">
        <f t="shared" si="21"/>
        <v>7.3985155745750141E-4</v>
      </c>
      <c r="F81" s="25">
        <v>7776</v>
      </c>
      <c r="G81" s="25">
        <v>0</v>
      </c>
      <c r="H81" s="25">
        <f t="shared" si="22"/>
        <v>7776</v>
      </c>
      <c r="I81" s="26">
        <f t="shared" si="38"/>
        <v>7.2094282081751518E-6</v>
      </c>
      <c r="J81" s="26">
        <f t="shared" si="23"/>
        <v>2.3791113086978003E-6</v>
      </c>
      <c r="K81" s="27">
        <v>5760</v>
      </c>
      <c r="L81" s="27">
        <v>0</v>
      </c>
      <c r="M81" s="25">
        <f t="shared" si="24"/>
        <v>5760</v>
      </c>
      <c r="N81" s="28">
        <f t="shared" si="39"/>
        <v>5.5005703503770869E-6</v>
      </c>
      <c r="O81" s="29">
        <f t="shared" si="30"/>
        <v>1.8151882156244388E-6</v>
      </c>
      <c r="P81" s="27">
        <v>19112.5</v>
      </c>
      <c r="Q81" s="27">
        <v>0</v>
      </c>
      <c r="R81" s="25">
        <f t="shared" si="25"/>
        <v>19112.5</v>
      </c>
      <c r="S81" s="30">
        <f t="shared" si="26"/>
        <v>1.5268226892469992E-5</v>
      </c>
      <c r="T81" s="30">
        <f t="shared" si="27"/>
        <v>5.191197143439798E-6</v>
      </c>
      <c r="U81" s="30">
        <f t="shared" si="31"/>
        <v>9.3854966677620383E-6</v>
      </c>
      <c r="V81" s="31">
        <f t="shared" si="28"/>
        <v>4.223473500492917E-7</v>
      </c>
      <c r="W81" s="30">
        <f t="shared" si="32"/>
        <v>3.0536453784939984E-7</v>
      </c>
      <c r="X81" s="31">
        <v>50.667758036341702</v>
      </c>
      <c r="Y81" s="32">
        <f t="shared" si="33"/>
        <v>5054.1667954449003</v>
      </c>
      <c r="Z81" s="33">
        <f t="shared" si="34"/>
        <v>2.1887155492729881E-3</v>
      </c>
      <c r="AA81" s="33">
        <f t="shared" si="35"/>
        <v>5.4717888731824703E-5</v>
      </c>
      <c r="AB81" s="33">
        <f t="shared" si="36"/>
        <v>2.5471698113207547E-3</v>
      </c>
      <c r="AC81" s="34">
        <f t="shared" si="29"/>
        <v>3.3424669693979795E-3</v>
      </c>
      <c r="AD81" s="35">
        <v>3.3424669693979795E-3</v>
      </c>
      <c r="AE81" s="36">
        <f t="shared" si="37"/>
        <v>0</v>
      </c>
    </row>
    <row r="82" spans="1:31" s="2" customFormat="1" ht="16.149999999999999" customHeight="1" x14ac:dyDescent="0.2">
      <c r="A82" s="20">
        <v>78</v>
      </c>
      <c r="B82" s="21" t="s">
        <v>109</v>
      </c>
      <c r="C82" s="22">
        <v>3747</v>
      </c>
      <c r="D82" s="24">
        <f t="shared" si="20"/>
        <v>1.6144612990316679E-3</v>
      </c>
      <c r="E82" s="24">
        <f t="shared" si="21"/>
        <v>1.0332552313802674E-3</v>
      </c>
      <c r="F82" s="25">
        <v>92445.52</v>
      </c>
      <c r="G82" s="25">
        <v>3050</v>
      </c>
      <c r="H82" s="25">
        <f t="shared" si="22"/>
        <v>95495.52</v>
      </c>
      <c r="I82" s="26">
        <f t="shared" si="38"/>
        <v>8.8537563740014708E-5</v>
      </c>
      <c r="J82" s="26">
        <f t="shared" si="23"/>
        <v>2.9217396034204856E-5</v>
      </c>
      <c r="K82" s="27">
        <v>92903.98</v>
      </c>
      <c r="L82" s="27">
        <v>9430</v>
      </c>
      <c r="M82" s="25">
        <f t="shared" si="24"/>
        <v>102333.98</v>
      </c>
      <c r="N82" s="28">
        <f t="shared" si="39"/>
        <v>9.7724870872236414E-5</v>
      </c>
      <c r="O82" s="29">
        <f t="shared" si="30"/>
        <v>3.2249207387838018E-5</v>
      </c>
      <c r="P82" s="27">
        <v>84483.68</v>
      </c>
      <c r="Q82" s="27">
        <v>8740</v>
      </c>
      <c r="R82" s="25">
        <f t="shared" si="25"/>
        <v>93223.679999999993</v>
      </c>
      <c r="S82" s="30">
        <f t="shared" si="26"/>
        <v>7.4472742864147381E-5</v>
      </c>
      <c r="T82" s="30">
        <f t="shared" si="27"/>
        <v>2.5320732573810111E-5</v>
      </c>
      <c r="U82" s="30">
        <f t="shared" si="31"/>
        <v>8.6787335995852974E-5</v>
      </c>
      <c r="V82" s="31">
        <f t="shared" si="28"/>
        <v>3.9054301198133833E-6</v>
      </c>
      <c r="W82" s="30">
        <f t="shared" si="32"/>
        <v>1.4894548572829477E-6</v>
      </c>
      <c r="X82" s="31">
        <v>52.699620408264003</v>
      </c>
      <c r="Y82" s="32">
        <f t="shared" si="33"/>
        <v>5949.9934512821792</v>
      </c>
      <c r="Z82" s="33">
        <f t="shared" si="34"/>
        <v>2.5766548101718123E-3</v>
      </c>
      <c r="AA82" s="33">
        <f t="shared" si="35"/>
        <v>6.441637025429531E-5</v>
      </c>
      <c r="AB82" s="33">
        <f t="shared" si="36"/>
        <v>2.5471698113207547E-3</v>
      </c>
      <c r="AC82" s="34">
        <f t="shared" si="29"/>
        <v>3.6502362979324143E-3</v>
      </c>
      <c r="AD82" s="35">
        <v>3.6502362979324143E-3</v>
      </c>
      <c r="AE82" s="36">
        <f t="shared" si="37"/>
        <v>0</v>
      </c>
    </row>
    <row r="83" spans="1:31" s="2" customFormat="1" ht="16.149999999999999" customHeight="1" x14ac:dyDescent="0.2">
      <c r="A83" s="20">
        <v>79</v>
      </c>
      <c r="B83" s="21" t="s">
        <v>110</v>
      </c>
      <c r="C83" s="22">
        <v>45062</v>
      </c>
      <c r="D83" s="24">
        <f t="shared" si="20"/>
        <v>1.9415760623689625E-2</v>
      </c>
      <c r="E83" s="24">
        <f t="shared" si="21"/>
        <v>1.242608679916136E-2</v>
      </c>
      <c r="F83" s="25">
        <v>689586</v>
      </c>
      <c r="G83" s="25">
        <v>946060.5</v>
      </c>
      <c r="H83" s="25">
        <f t="shared" si="22"/>
        <v>1635646.5</v>
      </c>
      <c r="I83" s="26">
        <f t="shared" si="38"/>
        <v>1.516470681031759E-3</v>
      </c>
      <c r="J83" s="26">
        <f t="shared" si="23"/>
        <v>5.0043532474048052E-4</v>
      </c>
      <c r="K83" s="27">
        <v>20484</v>
      </c>
      <c r="L83" s="27">
        <v>1003454</v>
      </c>
      <c r="M83" s="25">
        <f t="shared" si="24"/>
        <v>1023938</v>
      </c>
      <c r="N83" s="28">
        <f t="shared" si="39"/>
        <v>9.7781996587229403E-4</v>
      </c>
      <c r="O83" s="29">
        <f t="shared" si="30"/>
        <v>3.2268058873785707E-4</v>
      </c>
      <c r="P83" s="27">
        <v>9075</v>
      </c>
      <c r="Q83" s="27">
        <v>1272225.5</v>
      </c>
      <c r="R83" s="25">
        <f t="shared" si="25"/>
        <v>1281300.5</v>
      </c>
      <c r="S83" s="30">
        <f t="shared" si="26"/>
        <v>1.0235807325799998E-3</v>
      </c>
      <c r="T83" s="30">
        <f t="shared" si="27"/>
        <v>3.4801744907719996E-4</v>
      </c>
      <c r="U83" s="30">
        <f t="shared" si="31"/>
        <v>1.1711333625555377E-3</v>
      </c>
      <c r="V83" s="31">
        <f t="shared" si="28"/>
        <v>5.2701001314999192E-5</v>
      </c>
      <c r="W83" s="30">
        <f t="shared" si="32"/>
        <v>2.0471614651599997E-5</v>
      </c>
      <c r="X83" s="31">
        <v>53.797324570673297</v>
      </c>
      <c r="Y83" s="32">
        <f t="shared" si="33"/>
        <v>64353.472204584126</v>
      </c>
      <c r="Z83" s="33">
        <f t="shared" si="34"/>
        <v>2.7868380875523058E-2</v>
      </c>
      <c r="AA83" s="33">
        <f t="shared" si="35"/>
        <v>6.9670952188807648E-4</v>
      </c>
      <c r="AB83" s="33">
        <f t="shared" si="36"/>
        <v>2.5471698113207547E-3</v>
      </c>
      <c r="AC83" s="34">
        <f t="shared" si="29"/>
        <v>1.5743138748336789E-2</v>
      </c>
      <c r="AD83" s="35">
        <v>1.5743138748336789E-2</v>
      </c>
      <c r="AE83" s="36">
        <f t="shared" si="37"/>
        <v>0</v>
      </c>
    </row>
    <row r="84" spans="1:31" s="2" customFormat="1" ht="16.149999999999999" customHeight="1" x14ac:dyDescent="0.2">
      <c r="A84" s="20">
        <v>80</v>
      </c>
      <c r="B84" s="21" t="s">
        <v>111</v>
      </c>
      <c r="C84" s="22">
        <v>11020</v>
      </c>
      <c r="D84" s="24">
        <f t="shared" si="20"/>
        <v>4.7481621337947637E-3</v>
      </c>
      <c r="E84" s="24">
        <f t="shared" si="21"/>
        <v>3.038823765628649E-3</v>
      </c>
      <c r="F84" s="25">
        <v>171462.58</v>
      </c>
      <c r="G84" s="25">
        <v>3580</v>
      </c>
      <c r="H84" s="25">
        <f t="shared" si="22"/>
        <v>175042.58</v>
      </c>
      <c r="I84" s="26">
        <f t="shared" si="38"/>
        <v>1.622886977731167E-4</v>
      </c>
      <c r="J84" s="26">
        <f t="shared" si="23"/>
        <v>5.3555270265128512E-5</v>
      </c>
      <c r="K84" s="27">
        <v>124062</v>
      </c>
      <c r="L84" s="27">
        <v>25690</v>
      </c>
      <c r="M84" s="25">
        <f t="shared" si="24"/>
        <v>149752</v>
      </c>
      <c r="N84" s="28">
        <f t="shared" si="39"/>
        <v>1.4300718942876207E-4</v>
      </c>
      <c r="O84" s="29">
        <f t="shared" si="30"/>
        <v>4.7192372511491486E-5</v>
      </c>
      <c r="P84" s="27">
        <v>15297.01</v>
      </c>
      <c r="Q84" s="27">
        <v>4172</v>
      </c>
      <c r="R84" s="25">
        <f t="shared" si="25"/>
        <v>19469.010000000002</v>
      </c>
      <c r="S84" s="30">
        <f t="shared" si="26"/>
        <v>1.5553028753526082E-5</v>
      </c>
      <c r="T84" s="30">
        <f t="shared" si="27"/>
        <v>5.2880297761988677E-6</v>
      </c>
      <c r="U84" s="30">
        <f t="shared" si="31"/>
        <v>1.0603567255281887E-4</v>
      </c>
      <c r="V84" s="31">
        <f t="shared" si="28"/>
        <v>4.7716052648768492E-6</v>
      </c>
      <c r="W84" s="30">
        <f t="shared" si="32"/>
        <v>3.1106057507052164E-7</v>
      </c>
      <c r="X84" s="31">
        <v>54.147816437142303</v>
      </c>
      <c r="Y84" s="32">
        <f t="shared" si="33"/>
        <v>15175.398752807914</v>
      </c>
      <c r="Z84" s="33">
        <f t="shared" si="34"/>
        <v>6.5717323074148421E-3</v>
      </c>
      <c r="AA84" s="33">
        <f t="shared" si="35"/>
        <v>1.6429330768537106E-4</v>
      </c>
      <c r="AB84" s="33">
        <f t="shared" si="36"/>
        <v>2.5471698113207547E-3</v>
      </c>
      <c r="AC84" s="34">
        <f t="shared" si="29"/>
        <v>5.755369550474722E-3</v>
      </c>
      <c r="AD84" s="35">
        <v>5.755369550474722E-3</v>
      </c>
      <c r="AE84" s="36">
        <f t="shared" si="37"/>
        <v>0</v>
      </c>
    </row>
    <row r="85" spans="1:31" s="2" customFormat="1" ht="16.149999999999999" customHeight="1" x14ac:dyDescent="0.2">
      <c r="A85" s="20">
        <v>81</v>
      </c>
      <c r="B85" s="21" t="s">
        <v>112</v>
      </c>
      <c r="C85" s="22">
        <v>3355</v>
      </c>
      <c r="D85" s="24">
        <f t="shared" si="20"/>
        <v>1.4455611577932335E-3</v>
      </c>
      <c r="E85" s="24">
        <f t="shared" si="21"/>
        <v>9.2515914098766951E-4</v>
      </c>
      <c r="F85" s="25">
        <v>6964</v>
      </c>
      <c r="G85" s="25">
        <v>300</v>
      </c>
      <c r="H85" s="25">
        <f t="shared" si="22"/>
        <v>7264</v>
      </c>
      <c r="I85" s="26">
        <f t="shared" si="38"/>
        <v>6.7347333467315202E-6</v>
      </c>
      <c r="J85" s="26">
        <f t="shared" si="23"/>
        <v>2.222462004421402E-6</v>
      </c>
      <c r="K85" s="27">
        <v>4478</v>
      </c>
      <c r="L85" s="27">
        <v>2100</v>
      </c>
      <c r="M85" s="25">
        <f t="shared" si="24"/>
        <v>6578</v>
      </c>
      <c r="N85" s="28">
        <f t="shared" si="39"/>
        <v>6.2817277369410546E-6</v>
      </c>
      <c r="O85" s="29">
        <f t="shared" si="30"/>
        <v>2.072970153190548E-6</v>
      </c>
      <c r="P85" s="27">
        <v>11745.2</v>
      </c>
      <c r="Q85" s="27">
        <v>1200</v>
      </c>
      <c r="R85" s="25">
        <f t="shared" si="25"/>
        <v>12945.2</v>
      </c>
      <c r="S85" s="30">
        <f t="shared" si="26"/>
        <v>1.034141272823558E-5</v>
      </c>
      <c r="T85" s="30">
        <f t="shared" si="27"/>
        <v>3.5160803276000974E-6</v>
      </c>
      <c r="U85" s="30">
        <f t="shared" si="31"/>
        <v>7.811512485212047E-6</v>
      </c>
      <c r="V85" s="31">
        <f t="shared" si="28"/>
        <v>3.5151806183454209E-7</v>
      </c>
      <c r="W85" s="30">
        <f t="shared" si="32"/>
        <v>2.0682825456471162E-7</v>
      </c>
      <c r="X85" s="31">
        <v>50.930152286702899</v>
      </c>
      <c r="Y85" s="32">
        <f>C85*(9.261-0.1456*X85)</f>
        <v>6191.8867697730702</v>
      </c>
      <c r="Z85" s="33">
        <f t="shared" si="34"/>
        <v>2.681407124227497E-3</v>
      </c>
      <c r="AA85" s="33">
        <f t="shared" si="35"/>
        <v>6.7035178105687423E-5</v>
      </c>
      <c r="AB85" s="33">
        <f t="shared" si="36"/>
        <v>2.5471698113207547E-3</v>
      </c>
      <c r="AC85" s="34">
        <f t="shared" si="29"/>
        <v>3.539922476730511E-3</v>
      </c>
      <c r="AD85" s="35">
        <v>3.539922476730511E-3</v>
      </c>
      <c r="AE85" s="36">
        <f t="shared" si="37"/>
        <v>0</v>
      </c>
    </row>
    <row r="86" spans="1:31" s="2" customFormat="1" ht="16.149999999999999" customHeight="1" x14ac:dyDescent="0.2">
      <c r="A86" s="20">
        <v>82</v>
      </c>
      <c r="B86" s="21" t="s">
        <v>113</v>
      </c>
      <c r="C86" s="22">
        <v>3512</v>
      </c>
      <c r="D86" s="24">
        <f t="shared" si="20"/>
        <v>1.5132073878300555E-3</v>
      </c>
      <c r="E86" s="24">
        <f t="shared" si="21"/>
        <v>9.6845272821123552E-4</v>
      </c>
      <c r="F86" s="25">
        <v>0</v>
      </c>
      <c r="G86" s="25">
        <v>0</v>
      </c>
      <c r="H86" s="25">
        <f t="shared" si="22"/>
        <v>0</v>
      </c>
      <c r="I86" s="26">
        <f t="shared" si="38"/>
        <v>0</v>
      </c>
      <c r="J86" s="26">
        <f t="shared" si="23"/>
        <v>0</v>
      </c>
      <c r="K86" s="27">
        <v>28885</v>
      </c>
      <c r="L86" s="27">
        <v>0</v>
      </c>
      <c r="M86" s="25">
        <f t="shared" si="24"/>
        <v>28885</v>
      </c>
      <c r="N86" s="28">
        <f t="shared" si="39"/>
        <v>2.7584023362958705E-5</v>
      </c>
      <c r="O86" s="29">
        <f t="shared" si="30"/>
        <v>9.1027277097763732E-6</v>
      </c>
      <c r="P86" s="27">
        <v>20675</v>
      </c>
      <c r="Q86" s="27">
        <v>0</v>
      </c>
      <c r="R86" s="25">
        <f t="shared" si="25"/>
        <v>20675</v>
      </c>
      <c r="S86" s="30">
        <f t="shared" si="26"/>
        <v>1.6516446880409002E-5</v>
      </c>
      <c r="T86" s="30">
        <f t="shared" si="27"/>
        <v>5.6155919393390611E-6</v>
      </c>
      <c r="U86" s="30">
        <f t="shared" si="31"/>
        <v>1.4718319649115435E-5</v>
      </c>
      <c r="V86" s="31">
        <f t="shared" si="28"/>
        <v>6.6232438421019455E-7</v>
      </c>
      <c r="W86" s="30">
        <f t="shared" si="32"/>
        <v>3.3032893760818006E-7</v>
      </c>
      <c r="X86" s="31">
        <v>55.370599847421801</v>
      </c>
      <c r="Y86" s="32">
        <f t="shared" si="33"/>
        <v>4211.0308057004313</v>
      </c>
      <c r="Z86" s="33">
        <f t="shared" si="34"/>
        <v>1.8235940711752421E-3</v>
      </c>
      <c r="AA86" s="33">
        <f t="shared" si="35"/>
        <v>4.5589851779381057E-5</v>
      </c>
      <c r="AB86" s="33">
        <f t="shared" si="36"/>
        <v>2.5471698113207547E-3</v>
      </c>
      <c r="AC86" s="34">
        <f t="shared" si="29"/>
        <v>3.5622050446331897E-3</v>
      </c>
      <c r="AD86" s="35">
        <v>3.5622050446331897E-3</v>
      </c>
      <c r="AE86" s="36">
        <f t="shared" si="37"/>
        <v>0</v>
      </c>
    </row>
    <row r="87" spans="1:31" s="2" customFormat="1" ht="16.149999999999999" customHeight="1" x14ac:dyDescent="0.2">
      <c r="A87" s="20">
        <v>83</v>
      </c>
      <c r="B87" s="39" t="s">
        <v>114</v>
      </c>
      <c r="C87" s="22">
        <v>1915</v>
      </c>
      <c r="D87" s="24">
        <f t="shared" si="20"/>
        <v>8.2511165936633151E-4</v>
      </c>
      <c r="E87" s="24">
        <f t="shared" si="21"/>
        <v>5.2807146199445221E-4</v>
      </c>
      <c r="F87" s="25">
        <v>1258839.51</v>
      </c>
      <c r="G87" s="25">
        <v>1243585</v>
      </c>
      <c r="H87" s="25">
        <f t="shared" si="22"/>
        <v>2502424.5099999998</v>
      </c>
      <c r="I87" s="26">
        <f t="shared" si="38"/>
        <v>2.320093859467963E-3</v>
      </c>
      <c r="J87" s="26">
        <f t="shared" si="23"/>
        <v>7.6563097362442782E-4</v>
      </c>
      <c r="K87" s="27">
        <v>1400863</v>
      </c>
      <c r="L87" s="27">
        <v>901804</v>
      </c>
      <c r="M87" s="25">
        <f t="shared" si="24"/>
        <v>2302667</v>
      </c>
      <c r="N87" s="28">
        <f t="shared" si="39"/>
        <v>2.1989551782971798E-3</v>
      </c>
      <c r="O87" s="29">
        <f t="shared" si="30"/>
        <v>7.2565520883806941E-4</v>
      </c>
      <c r="P87" s="27">
        <v>2111674.7999999998</v>
      </c>
      <c r="Q87" s="27">
        <v>1081412</v>
      </c>
      <c r="R87" s="25">
        <f t="shared" si="25"/>
        <v>3193086.8</v>
      </c>
      <c r="S87" s="30">
        <f t="shared" si="26"/>
        <v>2.5508318508698992E-3</v>
      </c>
      <c r="T87" s="30">
        <f t="shared" si="27"/>
        <v>8.6728282929576577E-4</v>
      </c>
      <c r="U87" s="30">
        <f t="shared" si="31"/>
        <v>2.3585690117582632E-3</v>
      </c>
      <c r="V87" s="31">
        <f t="shared" si="28"/>
        <v>1.0613560552912184E-4</v>
      </c>
      <c r="W87" s="30">
        <f t="shared" si="32"/>
        <v>5.1016637017397986E-5</v>
      </c>
      <c r="X87" s="31">
        <v>55.268992057506999</v>
      </c>
      <c r="Y87" s="32">
        <f t="shared" si="33"/>
        <v>2324.4935585576668</v>
      </c>
      <c r="Z87" s="33">
        <f t="shared" si="34"/>
        <v>1.0066258993243649E-3</v>
      </c>
      <c r="AA87" s="33">
        <f t="shared" si="35"/>
        <v>2.5165647483109125E-5</v>
      </c>
      <c r="AB87" s="33">
        <f t="shared" si="36"/>
        <v>2.5471698113207547E-3</v>
      </c>
      <c r="AC87" s="34">
        <f t="shared" si="29"/>
        <v>3.2575591633448361E-3</v>
      </c>
      <c r="AD87" s="35">
        <v>3.2575591633448361E-3</v>
      </c>
      <c r="AE87" s="36">
        <f t="shared" si="37"/>
        <v>0</v>
      </c>
    </row>
    <row r="88" spans="1:31" s="2" customFormat="1" ht="16.149999999999999" customHeight="1" x14ac:dyDescent="0.2">
      <c r="A88" s="20">
        <v>84</v>
      </c>
      <c r="B88" s="21" t="s">
        <v>115</v>
      </c>
      <c r="C88" s="22">
        <v>7037</v>
      </c>
      <c r="D88" s="24">
        <f t="shared" si="20"/>
        <v>3.0320160558542425E-3</v>
      </c>
      <c r="E88" s="24">
        <f t="shared" si="21"/>
        <v>1.9404902757467152E-3</v>
      </c>
      <c r="F88" s="25">
        <v>0</v>
      </c>
      <c r="G88" s="25">
        <v>0</v>
      </c>
      <c r="H88" s="25">
        <f t="shared" si="22"/>
        <v>0</v>
      </c>
      <c r="I88" s="26">
        <f t="shared" si="38"/>
        <v>0</v>
      </c>
      <c r="J88" s="26">
        <f t="shared" si="23"/>
        <v>0</v>
      </c>
      <c r="K88" s="27">
        <v>0</v>
      </c>
      <c r="L88" s="27">
        <v>0</v>
      </c>
      <c r="M88" s="25">
        <f t="shared" si="24"/>
        <v>0</v>
      </c>
      <c r="N88" s="28">
        <f t="shared" si="39"/>
        <v>0</v>
      </c>
      <c r="O88" s="29">
        <f t="shared" si="30"/>
        <v>0</v>
      </c>
      <c r="P88" s="27">
        <v>31187.759999999998</v>
      </c>
      <c r="Q88" s="27">
        <v>0</v>
      </c>
      <c r="R88" s="25">
        <f t="shared" si="25"/>
        <v>31187.759999999998</v>
      </c>
      <c r="S88" s="30">
        <f t="shared" si="26"/>
        <v>2.4914678663068667E-5</v>
      </c>
      <c r="T88" s="30">
        <f t="shared" si="27"/>
        <v>8.4709907454433477E-6</v>
      </c>
      <c r="U88" s="30">
        <f t="shared" si="31"/>
        <v>8.4709907454433477E-6</v>
      </c>
      <c r="V88" s="31">
        <f t="shared" si="28"/>
        <v>3.8119458354495065E-7</v>
      </c>
      <c r="W88" s="30">
        <f t="shared" si="32"/>
        <v>4.9829357326137334E-7</v>
      </c>
      <c r="X88" s="31">
        <v>53.2971545292461</v>
      </c>
      <c r="Y88" s="32">
        <f t="shared" si="33"/>
        <v>10562.074672912411</v>
      </c>
      <c r="Z88" s="33">
        <f t="shared" si="34"/>
        <v>4.5739244478477615E-3</v>
      </c>
      <c r="AA88" s="33">
        <f t="shared" si="35"/>
        <v>1.1434811119619404E-4</v>
      </c>
      <c r="AB88" s="33">
        <f t="shared" si="36"/>
        <v>2.5471698113207547E-3</v>
      </c>
      <c r="AC88" s="34">
        <f t="shared" si="29"/>
        <v>4.6028876864204708E-3</v>
      </c>
      <c r="AD88" s="35">
        <v>4.6028876864204708E-3</v>
      </c>
      <c r="AE88" s="36">
        <f t="shared" si="37"/>
        <v>0</v>
      </c>
    </row>
    <row r="89" spans="1:31" s="2" customFormat="1" ht="16.149999999999999" customHeight="1" x14ac:dyDescent="0.2">
      <c r="A89" s="20">
        <v>85</v>
      </c>
      <c r="B89" s="21" t="s">
        <v>116</v>
      </c>
      <c r="C89" s="22">
        <v>16680</v>
      </c>
      <c r="D89" s="24">
        <f t="shared" si="20"/>
        <v>7.1868733567782813E-3</v>
      </c>
      <c r="E89" s="24">
        <f t="shared" si="21"/>
        <v>4.5995989483380998E-3</v>
      </c>
      <c r="F89" s="25">
        <v>77818.44</v>
      </c>
      <c r="G89" s="25">
        <v>13580</v>
      </c>
      <c r="H89" s="25">
        <f t="shared" si="22"/>
        <v>91398.44</v>
      </c>
      <c r="I89" s="26">
        <f t="shared" si="38"/>
        <v>8.473900353899229E-5</v>
      </c>
      <c r="J89" s="26">
        <f t="shared" si="23"/>
        <v>2.7963871167867458E-5</v>
      </c>
      <c r="K89" s="27">
        <v>30516.38</v>
      </c>
      <c r="L89" s="27">
        <v>46425</v>
      </c>
      <c r="M89" s="25">
        <f t="shared" si="24"/>
        <v>76941.38</v>
      </c>
      <c r="N89" s="28">
        <f t="shared" si="39"/>
        <v>7.3475950268245938E-5</v>
      </c>
      <c r="O89" s="29">
        <f t="shared" si="30"/>
        <v>2.4247063588521161E-5</v>
      </c>
      <c r="P89" s="27">
        <v>91988.479999999996</v>
      </c>
      <c r="Q89" s="27">
        <v>90214</v>
      </c>
      <c r="R89" s="25">
        <f t="shared" si="25"/>
        <v>182202.47999999998</v>
      </c>
      <c r="S89" s="30">
        <f t="shared" si="26"/>
        <v>1.4555441752835713E-4</v>
      </c>
      <c r="T89" s="30">
        <f t="shared" si="27"/>
        <v>4.9488501959641426E-5</v>
      </c>
      <c r="U89" s="30">
        <f t="shared" si="31"/>
        <v>1.0169943671603004E-4</v>
      </c>
      <c r="V89" s="31">
        <f t="shared" si="28"/>
        <v>4.5764746522213518E-6</v>
      </c>
      <c r="W89" s="30">
        <f t="shared" si="32"/>
        <v>2.9110883505671426E-6</v>
      </c>
      <c r="X89" s="31">
        <v>51.747656674820597</v>
      </c>
      <c r="Y89" s="32">
        <f t="shared" si="33"/>
        <v>28798.707018277284</v>
      </c>
      <c r="Z89" s="33">
        <f t="shared" si="34"/>
        <v>1.2471329182619926E-2</v>
      </c>
      <c r="AA89" s="33">
        <f t="shared" si="35"/>
        <v>3.1178322956549817E-4</v>
      </c>
      <c r="AB89" s="33">
        <f t="shared" si="36"/>
        <v>2.5471698113207547E-3</v>
      </c>
      <c r="AC89" s="34">
        <f t="shared" si="29"/>
        <v>7.4660395522271406E-3</v>
      </c>
      <c r="AD89" s="35">
        <v>7.4660395522271406E-3</v>
      </c>
      <c r="AE89" s="36">
        <f t="shared" si="37"/>
        <v>0</v>
      </c>
    </row>
    <row r="90" spans="1:31" s="2" customFormat="1" ht="16.149999999999999" customHeight="1" x14ac:dyDescent="0.2">
      <c r="A90" s="20">
        <v>86</v>
      </c>
      <c r="B90" s="21" t="s">
        <v>117</v>
      </c>
      <c r="C90" s="22">
        <v>2133</v>
      </c>
      <c r="D90" s="24">
        <f t="shared" si="20"/>
        <v>9.1904081954484863E-4</v>
      </c>
      <c r="E90" s="24">
        <f t="shared" si="21"/>
        <v>5.8818612450870313E-4</v>
      </c>
      <c r="F90" s="25">
        <v>20790</v>
      </c>
      <c r="G90" s="25">
        <v>0</v>
      </c>
      <c r="H90" s="25">
        <f t="shared" si="22"/>
        <v>20790</v>
      </c>
      <c r="I90" s="26">
        <f t="shared" si="38"/>
        <v>1.9275207362134954E-5</v>
      </c>
      <c r="J90" s="26">
        <f t="shared" si="23"/>
        <v>6.3608184295045352E-6</v>
      </c>
      <c r="K90" s="27">
        <v>11842</v>
      </c>
      <c r="L90" s="27">
        <v>0</v>
      </c>
      <c r="M90" s="25">
        <f t="shared" si="24"/>
        <v>11842</v>
      </c>
      <c r="N90" s="28">
        <f t="shared" si="39"/>
        <v>1.1308637862702337E-5</v>
      </c>
      <c r="O90" s="29">
        <f t="shared" si="30"/>
        <v>3.7318504946917714E-6</v>
      </c>
      <c r="P90" s="27">
        <v>6513</v>
      </c>
      <c r="Q90" s="27">
        <v>0</v>
      </c>
      <c r="R90" s="25">
        <f t="shared" si="25"/>
        <v>6513</v>
      </c>
      <c r="S90" s="30">
        <f t="shared" si="26"/>
        <v>5.2029803401259413E-6</v>
      </c>
      <c r="T90" s="30">
        <f t="shared" si="27"/>
        <v>1.7690133156428201E-6</v>
      </c>
      <c r="U90" s="30">
        <f t="shared" si="31"/>
        <v>1.1861682239839127E-5</v>
      </c>
      <c r="V90" s="31">
        <f t="shared" si="28"/>
        <v>5.3377570079276071E-7</v>
      </c>
      <c r="W90" s="30">
        <f t="shared" si="32"/>
        <v>1.0405960680251883E-7</v>
      </c>
      <c r="X90" s="31">
        <v>50.617111523905002</v>
      </c>
      <c r="Y90" s="32">
        <f t="shared" si="33"/>
        <v>4033.819883000745</v>
      </c>
      <c r="Z90" s="33">
        <f t="shared" si="34"/>
        <v>1.7468525789151564E-3</v>
      </c>
      <c r="AA90" s="33">
        <f t="shared" si="35"/>
        <v>4.3671314472878912E-5</v>
      </c>
      <c r="AB90" s="33">
        <f t="shared" si="36"/>
        <v>2.5471698113207547E-3</v>
      </c>
      <c r="AC90" s="34">
        <f t="shared" si="29"/>
        <v>3.1796650856099323E-3</v>
      </c>
      <c r="AD90" s="35">
        <v>3.1796650856099323E-3</v>
      </c>
      <c r="AE90" s="36">
        <f t="shared" si="37"/>
        <v>0</v>
      </c>
    </row>
    <row r="91" spans="1:31" s="2" customFormat="1" ht="16.149999999999999" customHeight="1" x14ac:dyDescent="0.2">
      <c r="A91" s="20">
        <v>87</v>
      </c>
      <c r="B91" s="21" t="s">
        <v>118</v>
      </c>
      <c r="C91" s="22">
        <v>5464</v>
      </c>
      <c r="D91" s="24">
        <f t="shared" si="20"/>
        <v>2.3542611523643003E-3</v>
      </c>
      <c r="E91" s="24">
        <f t="shared" si="21"/>
        <v>1.5067271375131521E-3</v>
      </c>
      <c r="F91" s="25">
        <v>0</v>
      </c>
      <c r="G91" s="25">
        <v>0</v>
      </c>
      <c r="H91" s="25">
        <f t="shared" si="22"/>
        <v>0</v>
      </c>
      <c r="I91" s="26">
        <f t="shared" si="38"/>
        <v>0</v>
      </c>
      <c r="J91" s="26">
        <f t="shared" si="23"/>
        <v>0</v>
      </c>
      <c r="K91" s="27">
        <v>0</v>
      </c>
      <c r="L91" s="27">
        <v>0</v>
      </c>
      <c r="M91" s="25">
        <f t="shared" si="24"/>
        <v>0</v>
      </c>
      <c r="N91" s="28">
        <f t="shared" si="39"/>
        <v>0</v>
      </c>
      <c r="O91" s="29">
        <f t="shared" si="30"/>
        <v>0</v>
      </c>
      <c r="P91" s="27">
        <v>26669</v>
      </c>
      <c r="Q91" s="27">
        <v>405</v>
      </c>
      <c r="R91" s="25">
        <f t="shared" si="25"/>
        <v>27074</v>
      </c>
      <c r="S91" s="30">
        <f t="shared" si="26"/>
        <v>2.1628357090214915E-5</v>
      </c>
      <c r="T91" s="30">
        <f t="shared" si="27"/>
        <v>7.3536414106730713E-6</v>
      </c>
      <c r="U91" s="30">
        <f t="shared" si="31"/>
        <v>7.3536414106730713E-6</v>
      </c>
      <c r="V91" s="31">
        <f t="shared" si="28"/>
        <v>3.309138634802882E-7</v>
      </c>
      <c r="W91" s="30">
        <f t="shared" si="32"/>
        <v>4.325671418042983E-7</v>
      </c>
      <c r="X91" s="31">
        <v>51.139743750078402</v>
      </c>
      <c r="Y91" s="32">
        <f t="shared" si="33"/>
        <v>9917.4512857776226</v>
      </c>
      <c r="Z91" s="33">
        <f t="shared" si="34"/>
        <v>4.2947691908193399E-3</v>
      </c>
      <c r="AA91" s="33">
        <f t="shared" si="35"/>
        <v>1.073692297704835E-4</v>
      </c>
      <c r="AB91" s="33">
        <f t="shared" si="36"/>
        <v>2.5471698113207547E-3</v>
      </c>
      <c r="AC91" s="34">
        <f t="shared" si="29"/>
        <v>4.1620296596096753E-3</v>
      </c>
      <c r="AD91" s="35">
        <v>4.1620296596096753E-3</v>
      </c>
      <c r="AE91" s="36">
        <f t="shared" si="37"/>
        <v>0</v>
      </c>
    </row>
    <row r="92" spans="1:31" s="2" customFormat="1" ht="16.149999999999999" customHeight="1" x14ac:dyDescent="0.2">
      <c r="A92" s="20">
        <v>88</v>
      </c>
      <c r="B92" s="39" t="s">
        <v>119</v>
      </c>
      <c r="C92" s="22">
        <v>1917</v>
      </c>
      <c r="D92" s="24">
        <f t="shared" si="20"/>
        <v>8.2597339478081332E-4</v>
      </c>
      <c r="E92" s="24">
        <f t="shared" si="21"/>
        <v>5.2862297265972053E-4</v>
      </c>
      <c r="F92" s="25">
        <v>0</v>
      </c>
      <c r="G92" s="25">
        <v>0</v>
      </c>
      <c r="H92" s="25">
        <f t="shared" si="22"/>
        <v>0</v>
      </c>
      <c r="I92" s="26">
        <f t="shared" si="38"/>
        <v>0</v>
      </c>
      <c r="J92" s="26">
        <f t="shared" si="23"/>
        <v>0</v>
      </c>
      <c r="K92" s="27">
        <v>8760</v>
      </c>
      <c r="L92" s="27">
        <v>0</v>
      </c>
      <c r="M92" s="25">
        <f t="shared" si="24"/>
        <v>8760</v>
      </c>
      <c r="N92" s="28">
        <f t="shared" si="39"/>
        <v>8.3654507411984858E-6</v>
      </c>
      <c r="O92" s="29">
        <f t="shared" si="30"/>
        <v>2.7605987445955006E-6</v>
      </c>
      <c r="P92" s="27">
        <v>22760</v>
      </c>
      <c r="Q92" s="27">
        <v>0</v>
      </c>
      <c r="R92" s="25">
        <f t="shared" si="25"/>
        <v>22760</v>
      </c>
      <c r="S92" s="30">
        <f t="shared" si="26"/>
        <v>1.8182071632314819E-5</v>
      </c>
      <c r="T92" s="30">
        <f t="shared" si="27"/>
        <v>6.1819043549870386E-6</v>
      </c>
      <c r="U92" s="30">
        <f t="shared" si="31"/>
        <v>8.9425030995825391E-6</v>
      </c>
      <c r="V92" s="31">
        <f t="shared" si="28"/>
        <v>4.0241263948121425E-7</v>
      </c>
      <c r="W92" s="30">
        <f t="shared" si="32"/>
        <v>3.6364143264629641E-7</v>
      </c>
      <c r="X92" s="31">
        <v>52.540547336063703</v>
      </c>
      <c r="Y92" s="32">
        <f t="shared" si="33"/>
        <v>3088.4716221851104</v>
      </c>
      <c r="Z92" s="33">
        <f t="shared" si="34"/>
        <v>1.3374679025348391E-3</v>
      </c>
      <c r="AA92" s="33">
        <f t="shared" si="35"/>
        <v>3.3436697563370981E-5</v>
      </c>
      <c r="AB92" s="33">
        <f t="shared" si="36"/>
        <v>2.5471698113207547E-3</v>
      </c>
      <c r="AC92" s="34">
        <f t="shared" si="29"/>
        <v>3.1099955356159738E-3</v>
      </c>
      <c r="AD92" s="35">
        <v>3.1099955356159738E-3</v>
      </c>
      <c r="AE92" s="36">
        <f t="shared" si="37"/>
        <v>0</v>
      </c>
    </row>
    <row r="93" spans="1:31" s="2" customFormat="1" ht="16.149999999999999" customHeight="1" x14ac:dyDescent="0.2">
      <c r="A93" s="20">
        <v>89</v>
      </c>
      <c r="B93" s="21" t="s">
        <v>120</v>
      </c>
      <c r="C93" s="22">
        <v>40495</v>
      </c>
      <c r="D93" s="24">
        <f t="shared" si="20"/>
        <v>1.7447987804720413E-2</v>
      </c>
      <c r="E93" s="24">
        <f t="shared" si="21"/>
        <v>1.1166712195021064E-2</v>
      </c>
      <c r="F93" s="25">
        <v>812930.5</v>
      </c>
      <c r="G93" s="25">
        <v>1774445.28</v>
      </c>
      <c r="H93" s="25">
        <f t="shared" si="22"/>
        <v>2587375.7800000003</v>
      </c>
      <c r="I93" s="26">
        <f t="shared" si="38"/>
        <v>2.398855444120523E-3</v>
      </c>
      <c r="J93" s="26">
        <f t="shared" si="23"/>
        <v>7.9162229655977258E-4</v>
      </c>
      <c r="K93" s="27">
        <v>1030117.99</v>
      </c>
      <c r="L93" s="27">
        <v>1543070.79</v>
      </c>
      <c r="M93" s="25">
        <f t="shared" si="24"/>
        <v>2573188.7800000003</v>
      </c>
      <c r="N93" s="28">
        <f t="shared" si="39"/>
        <v>2.45729269256788E-3</v>
      </c>
      <c r="O93" s="29">
        <f t="shared" si="30"/>
        <v>8.109065885474004E-4</v>
      </c>
      <c r="P93" s="27">
        <v>1102499.6100000001</v>
      </c>
      <c r="Q93" s="27">
        <v>1757771.21</v>
      </c>
      <c r="R93" s="25">
        <f t="shared" si="25"/>
        <v>2860270.8200000003</v>
      </c>
      <c r="S93" s="30">
        <f t="shared" si="26"/>
        <v>2.2849582134033329E-3</v>
      </c>
      <c r="T93" s="30">
        <f t="shared" si="27"/>
        <v>7.7688579255713326E-4</v>
      </c>
      <c r="U93" s="30">
        <f t="shared" si="31"/>
        <v>2.3794146776643064E-3</v>
      </c>
      <c r="V93" s="31">
        <f t="shared" si="28"/>
        <v>1.0707366049489379E-4</v>
      </c>
      <c r="W93" s="30">
        <f t="shared" si="32"/>
        <v>4.5699164268066662E-5</v>
      </c>
      <c r="X93" s="31">
        <v>56.026230148359701</v>
      </c>
      <c r="Y93" s="32">
        <f t="shared" si="33"/>
        <v>44689.508156700453</v>
      </c>
      <c r="Z93" s="33">
        <f t="shared" si="34"/>
        <v>1.9352867713049469E-2</v>
      </c>
      <c r="AA93" s="33">
        <f t="shared" si="35"/>
        <v>4.8382169282623676E-4</v>
      </c>
      <c r="AB93" s="33">
        <f t="shared" si="36"/>
        <v>2.5471698113207547E-3</v>
      </c>
      <c r="AC93" s="34">
        <f t="shared" si="29"/>
        <v>1.4350476523931014E-2</v>
      </c>
      <c r="AD93" s="35">
        <v>1.4350476523931014E-2</v>
      </c>
      <c r="AE93" s="36">
        <f t="shared" si="37"/>
        <v>0</v>
      </c>
    </row>
    <row r="94" spans="1:31" s="2" customFormat="1" ht="16.149999999999999" customHeight="1" x14ac:dyDescent="0.2">
      <c r="A94" s="20">
        <v>90</v>
      </c>
      <c r="B94" s="21" t="s">
        <v>121</v>
      </c>
      <c r="C94" s="22">
        <v>7503</v>
      </c>
      <c r="D94" s="24">
        <f t="shared" si="20"/>
        <v>3.2328004074285038E-3</v>
      </c>
      <c r="E94" s="24">
        <f t="shared" si="21"/>
        <v>2.0689922607542424E-3</v>
      </c>
      <c r="F94" s="25">
        <v>8331.5</v>
      </c>
      <c r="G94" s="25">
        <v>1705</v>
      </c>
      <c r="H94" s="25">
        <f t="shared" si="22"/>
        <v>10036.5</v>
      </c>
      <c r="I94" s="26">
        <f t="shared" si="38"/>
        <v>9.3052245642168091E-6</v>
      </c>
      <c r="J94" s="26">
        <f t="shared" si="23"/>
        <v>3.0707241061915473E-6</v>
      </c>
      <c r="K94" s="27">
        <v>49357.5</v>
      </c>
      <c r="L94" s="27">
        <v>6823</v>
      </c>
      <c r="M94" s="25">
        <f t="shared" si="24"/>
        <v>56180.5</v>
      </c>
      <c r="N94" s="28">
        <f t="shared" si="39"/>
        <v>5.3650137598847209E-5</v>
      </c>
      <c r="O94" s="29">
        <f t="shared" si="30"/>
        <v>1.7704545407619579E-5</v>
      </c>
      <c r="P94" s="27">
        <v>9038</v>
      </c>
      <c r="Q94" s="27">
        <v>8278</v>
      </c>
      <c r="R94" s="25">
        <f t="shared" si="25"/>
        <v>17316</v>
      </c>
      <c r="S94" s="30">
        <f t="shared" si="26"/>
        <v>1.3833073479137234E-5</v>
      </c>
      <c r="T94" s="30">
        <f t="shared" si="27"/>
        <v>4.7032449829066599E-6</v>
      </c>
      <c r="U94" s="30">
        <f t="shared" si="31"/>
        <v>2.5478514496717788E-5</v>
      </c>
      <c r="V94" s="31">
        <f t="shared" si="28"/>
        <v>1.1465331523523004E-6</v>
      </c>
      <c r="W94" s="30">
        <f t="shared" si="32"/>
        <v>2.7666146958274466E-7</v>
      </c>
      <c r="X94" s="31">
        <v>51.884072562114902</v>
      </c>
      <c r="Y94" s="32">
        <f t="shared" si="33"/>
        <v>12805.212799275389</v>
      </c>
      <c r="Z94" s="33">
        <f t="shared" si="34"/>
        <v>5.5453192385306735E-3</v>
      </c>
      <c r="AA94" s="33">
        <f t="shared" si="35"/>
        <v>1.3863298096326683E-4</v>
      </c>
      <c r="AB94" s="33">
        <f t="shared" si="36"/>
        <v>2.5471698113207547E-3</v>
      </c>
      <c r="AC94" s="34">
        <f t="shared" si="29"/>
        <v>4.7562182476601992E-3</v>
      </c>
      <c r="AD94" s="35">
        <v>4.7562182476601992E-3</v>
      </c>
      <c r="AE94" s="36">
        <f t="shared" si="37"/>
        <v>0</v>
      </c>
    </row>
    <row r="95" spans="1:31" s="2" customFormat="1" ht="16.149999999999999" customHeight="1" x14ac:dyDescent="0.2">
      <c r="A95" s="20">
        <v>91</v>
      </c>
      <c r="B95" s="21" t="s">
        <v>122</v>
      </c>
      <c r="C95" s="22">
        <v>12700</v>
      </c>
      <c r="D95" s="24">
        <f t="shared" si="20"/>
        <v>5.4720198819594827E-3</v>
      </c>
      <c r="E95" s="24">
        <f t="shared" si="21"/>
        <v>3.5020927244540688E-3</v>
      </c>
      <c r="F95" s="25">
        <v>262594.46999999997</v>
      </c>
      <c r="G95" s="25">
        <v>360.3</v>
      </c>
      <c r="H95" s="25">
        <f t="shared" si="22"/>
        <v>262954.76999999996</v>
      </c>
      <c r="I95" s="26">
        <f t="shared" si="38"/>
        <v>2.4379546506072644E-4</v>
      </c>
      <c r="J95" s="26">
        <f t="shared" si="23"/>
        <v>8.0452503470039729E-5</v>
      </c>
      <c r="K95" s="27">
        <v>0</v>
      </c>
      <c r="L95" s="27">
        <v>0</v>
      </c>
      <c r="M95" s="25">
        <f t="shared" si="24"/>
        <v>0</v>
      </c>
      <c r="N95" s="28">
        <f t="shared" si="39"/>
        <v>0</v>
      </c>
      <c r="O95" s="29">
        <f t="shared" si="30"/>
        <v>0</v>
      </c>
      <c r="P95" s="27">
        <v>69370.23</v>
      </c>
      <c r="Q95" s="27">
        <v>33865.5</v>
      </c>
      <c r="R95" s="25">
        <f t="shared" si="25"/>
        <v>103235.73</v>
      </c>
      <c r="S95" s="30">
        <f t="shared" si="26"/>
        <v>8.2470977059504038E-5</v>
      </c>
      <c r="T95" s="30">
        <f t="shared" si="27"/>
        <v>2.8040132200231376E-5</v>
      </c>
      <c r="U95" s="30">
        <f t="shared" si="31"/>
        <v>1.084926356702711E-4</v>
      </c>
      <c r="V95" s="31">
        <f t="shared" si="28"/>
        <v>4.8821686051621992E-6</v>
      </c>
      <c r="W95" s="30">
        <f t="shared" si="32"/>
        <v>1.6494195411900808E-6</v>
      </c>
      <c r="X95" s="31">
        <v>53.452750880160899</v>
      </c>
      <c r="Y95" s="32">
        <f t="shared" si="33"/>
        <v>18774.149292476868</v>
      </c>
      <c r="Z95" s="33">
        <f t="shared" si="34"/>
        <v>8.1301773653078401E-3</v>
      </c>
      <c r="AA95" s="33">
        <f t="shared" si="35"/>
        <v>2.0325443413269601E-4</v>
      </c>
      <c r="AB95" s="33">
        <f t="shared" si="36"/>
        <v>2.5471698113207547E-3</v>
      </c>
      <c r="AC95" s="34">
        <f t="shared" si="29"/>
        <v>6.2590485580538719E-3</v>
      </c>
      <c r="AD95" s="35">
        <v>6.2590485580538719E-3</v>
      </c>
      <c r="AE95" s="36">
        <f t="shared" si="37"/>
        <v>0</v>
      </c>
    </row>
    <row r="96" spans="1:31" s="2" customFormat="1" ht="16.149999999999999" customHeight="1" x14ac:dyDescent="0.2">
      <c r="A96" s="20">
        <v>92</v>
      </c>
      <c r="B96" s="21" t="s">
        <v>123</v>
      </c>
      <c r="C96" s="22">
        <v>7888</v>
      </c>
      <c r="D96" s="24">
        <f t="shared" si="20"/>
        <v>3.3986844747162519E-3</v>
      </c>
      <c r="E96" s="24">
        <f t="shared" si="21"/>
        <v>2.1751580638184015E-3</v>
      </c>
      <c r="F96" s="25">
        <v>11104.63</v>
      </c>
      <c r="G96" s="25">
        <v>0</v>
      </c>
      <c r="H96" s="25">
        <f t="shared" si="22"/>
        <v>11104.63</v>
      </c>
      <c r="I96" s="26">
        <f t="shared" si="38"/>
        <v>1.0295528904751546E-5</v>
      </c>
      <c r="J96" s="26">
        <f t="shared" si="23"/>
        <v>3.3975245385680101E-6</v>
      </c>
      <c r="K96" s="27">
        <v>13828.33</v>
      </c>
      <c r="L96" s="27">
        <v>0</v>
      </c>
      <c r="M96" s="25">
        <f t="shared" si="24"/>
        <v>13828.33</v>
      </c>
      <c r="N96" s="28">
        <f t="shared" si="39"/>
        <v>1.3205503818269093E-5</v>
      </c>
      <c r="O96" s="29">
        <f t="shared" si="30"/>
        <v>4.3578162600288009E-6</v>
      </c>
      <c r="P96" s="27">
        <v>9226.32</v>
      </c>
      <c r="Q96" s="27">
        <v>0</v>
      </c>
      <c r="R96" s="25">
        <f t="shared" si="25"/>
        <v>9226.32</v>
      </c>
      <c r="S96" s="30">
        <f t="shared" si="26"/>
        <v>7.3705453050377356E-6</v>
      </c>
      <c r="T96" s="30">
        <f t="shared" si="27"/>
        <v>2.5059854037128302E-6</v>
      </c>
      <c r="U96" s="30">
        <f t="shared" si="31"/>
        <v>1.0261326202309641E-5</v>
      </c>
      <c r="V96" s="31">
        <f t="shared" si="28"/>
        <v>4.6175967910393383E-7</v>
      </c>
      <c r="W96" s="30">
        <f t="shared" si="32"/>
        <v>1.4741090610075473E-7</v>
      </c>
      <c r="X96" s="31">
        <v>48.945772326207702</v>
      </c>
      <c r="Y96" s="32">
        <f t="shared" si="33"/>
        <v>16836.900892911191</v>
      </c>
      <c r="Z96" s="33">
        <f t="shared" si="34"/>
        <v>7.2912486424261558E-3</v>
      </c>
      <c r="AA96" s="33">
        <f t="shared" si="35"/>
        <v>1.8228121606065392E-4</v>
      </c>
      <c r="AB96" s="33">
        <f t="shared" si="36"/>
        <v>2.5471698113207547E-3</v>
      </c>
      <c r="AC96" s="34">
        <f t="shared" si="29"/>
        <v>4.9052182617850149E-3</v>
      </c>
      <c r="AD96" s="35">
        <v>4.9052182617850149E-3</v>
      </c>
      <c r="AE96" s="36">
        <f t="shared" si="37"/>
        <v>0</v>
      </c>
    </row>
    <row r="97" spans="1:32" s="2" customFormat="1" ht="16.149999999999999" customHeight="1" x14ac:dyDescent="0.2">
      <c r="A97" s="20">
        <v>93</v>
      </c>
      <c r="B97" s="21" t="s">
        <v>124</v>
      </c>
      <c r="C97" s="22">
        <v>18420</v>
      </c>
      <c r="D97" s="24">
        <f t="shared" si="20"/>
        <v>7.9365831673774544E-3</v>
      </c>
      <c r="E97" s="24">
        <f t="shared" si="21"/>
        <v>5.0794132271215712E-3</v>
      </c>
      <c r="F97" s="25">
        <v>181495.25</v>
      </c>
      <c r="G97" s="25">
        <v>720</v>
      </c>
      <c r="H97" s="25">
        <f t="shared" si="22"/>
        <v>182215.25</v>
      </c>
      <c r="I97" s="26">
        <f t="shared" si="38"/>
        <v>1.6893875556966143E-4</v>
      </c>
      <c r="J97" s="26">
        <f t="shared" si="23"/>
        <v>5.5749789337988273E-5</v>
      </c>
      <c r="K97" s="27">
        <v>17358</v>
      </c>
      <c r="L97" s="27">
        <v>0</v>
      </c>
      <c r="M97" s="25">
        <f t="shared" si="24"/>
        <v>17358</v>
      </c>
      <c r="N97" s="28">
        <f t="shared" si="39"/>
        <v>1.6576197941292618E-5</v>
      </c>
      <c r="O97" s="29">
        <f t="shared" si="30"/>
        <v>5.4701453206265643E-6</v>
      </c>
      <c r="P97" s="27">
        <v>113084</v>
      </c>
      <c r="Q97" s="27">
        <v>58113</v>
      </c>
      <c r="R97" s="25">
        <f t="shared" si="25"/>
        <v>171197</v>
      </c>
      <c r="S97" s="30">
        <f t="shared" si="26"/>
        <v>1.3676257105612479E-4</v>
      </c>
      <c r="T97" s="30">
        <f t="shared" si="27"/>
        <v>4.6499274159082436E-5</v>
      </c>
      <c r="U97" s="30">
        <f t="shared" si="31"/>
        <v>1.0771920881769728E-4</v>
      </c>
      <c r="V97" s="31">
        <f t="shared" si="28"/>
        <v>4.8473643967963774E-6</v>
      </c>
      <c r="W97" s="30">
        <f t="shared" si="32"/>
        <v>2.735251421122496E-6</v>
      </c>
      <c r="X97" s="31">
        <v>56.823219802976503</v>
      </c>
      <c r="Y97" s="32">
        <f t="shared" si="33"/>
        <v>18190.472002967552</v>
      </c>
      <c r="Z97" s="33">
        <f t="shared" si="34"/>
        <v>7.8774149197831083E-3</v>
      </c>
      <c r="AA97" s="33">
        <f t="shared" si="35"/>
        <v>1.9693537299457771E-4</v>
      </c>
      <c r="AB97" s="33">
        <f t="shared" si="36"/>
        <v>2.5471698113207547E-3</v>
      </c>
      <c r="AC97" s="34">
        <f t="shared" si="29"/>
        <v>7.8311010272548234E-3</v>
      </c>
      <c r="AD97" s="35">
        <v>7.8311010272548234E-3</v>
      </c>
      <c r="AE97" s="36">
        <f t="shared" si="37"/>
        <v>0</v>
      </c>
    </row>
    <row r="98" spans="1:32" s="2" customFormat="1" ht="16.149999999999999" customHeight="1" x14ac:dyDescent="0.2">
      <c r="A98" s="20">
        <v>94</v>
      </c>
      <c r="B98" s="21" t="s">
        <v>125</v>
      </c>
      <c r="C98" s="22">
        <v>5444</v>
      </c>
      <c r="D98" s="24">
        <f t="shared" si="20"/>
        <v>2.3456437982194824E-3</v>
      </c>
      <c r="E98" s="24">
        <f t="shared" si="21"/>
        <v>1.5012120308604687E-3</v>
      </c>
      <c r="F98" s="25">
        <v>17705</v>
      </c>
      <c r="G98" s="25">
        <v>14940</v>
      </c>
      <c r="H98" s="25">
        <f t="shared" si="22"/>
        <v>32645</v>
      </c>
      <c r="I98" s="26">
        <f t="shared" si="38"/>
        <v>3.0266433109037785E-5</v>
      </c>
      <c r="J98" s="26">
        <f t="shared" si="23"/>
        <v>9.987922925982469E-6</v>
      </c>
      <c r="K98" s="27">
        <v>16012</v>
      </c>
      <c r="L98" s="27">
        <v>8056</v>
      </c>
      <c r="M98" s="25">
        <f t="shared" si="24"/>
        <v>24068</v>
      </c>
      <c r="N98" s="28">
        <f t="shared" si="39"/>
        <v>2.2983980415429814E-5</v>
      </c>
      <c r="O98" s="29">
        <f t="shared" si="30"/>
        <v>7.5847135370918386E-6</v>
      </c>
      <c r="P98" s="27">
        <v>26896</v>
      </c>
      <c r="Q98" s="27">
        <v>9018</v>
      </c>
      <c r="R98" s="25">
        <f t="shared" si="25"/>
        <v>35914</v>
      </c>
      <c r="S98" s="30">
        <f t="shared" si="26"/>
        <v>2.8690286493978668E-5</v>
      </c>
      <c r="T98" s="30">
        <f t="shared" si="27"/>
        <v>9.7546974079527481E-6</v>
      </c>
      <c r="U98" s="30">
        <f t="shared" si="31"/>
        <v>2.7327333871027055E-5</v>
      </c>
      <c r="V98" s="31">
        <f t="shared" si="28"/>
        <v>1.2297300241962174E-6</v>
      </c>
      <c r="W98" s="30">
        <f t="shared" si="32"/>
        <v>5.7380572987957335E-7</v>
      </c>
      <c r="X98" s="31">
        <v>50.508968021538301</v>
      </c>
      <c r="Y98" s="32">
        <f t="shared" si="33"/>
        <v>10381.132330012535</v>
      </c>
      <c r="Z98" s="33">
        <f t="shared" si="34"/>
        <v>4.495567057707062E-3</v>
      </c>
      <c r="AA98" s="33">
        <f t="shared" si="35"/>
        <v>1.1238917644267656E-4</v>
      </c>
      <c r="AB98" s="33">
        <f t="shared" si="36"/>
        <v>2.5471698113207547E-3</v>
      </c>
      <c r="AC98" s="34">
        <f t="shared" si="29"/>
        <v>4.1625745543779754E-3</v>
      </c>
      <c r="AD98" s="35">
        <v>4.1625745543779754E-3</v>
      </c>
      <c r="AE98" s="36">
        <f t="shared" si="37"/>
        <v>0</v>
      </c>
    </row>
    <row r="99" spans="1:32" s="2" customFormat="1" ht="16.149999999999999" customHeight="1" x14ac:dyDescent="0.2">
      <c r="A99" s="20">
        <v>95</v>
      </c>
      <c r="B99" s="21" t="s">
        <v>126</v>
      </c>
      <c r="C99" s="22">
        <v>5690</v>
      </c>
      <c r="D99" s="24">
        <f t="shared" si="20"/>
        <v>2.4516372542007447E-3</v>
      </c>
      <c r="E99" s="24">
        <f t="shared" si="21"/>
        <v>1.5690478426884766E-3</v>
      </c>
      <c r="F99" s="25">
        <v>453273.54</v>
      </c>
      <c r="G99" s="25">
        <v>34010</v>
      </c>
      <c r="H99" s="25">
        <f>F99+G99</f>
        <v>487283.54</v>
      </c>
      <c r="I99" s="26">
        <f t="shared" si="38"/>
        <v>4.5177928223449649E-4</v>
      </c>
      <c r="J99" s="26">
        <f t="shared" si="23"/>
        <v>1.4908716313738384E-4</v>
      </c>
      <c r="K99" s="27">
        <v>80482</v>
      </c>
      <c r="L99" s="27">
        <v>17660</v>
      </c>
      <c r="M99" s="25">
        <f t="shared" si="24"/>
        <v>98142</v>
      </c>
      <c r="N99" s="28">
        <f t="shared" si="39"/>
        <v>9.3721697105331257E-5</v>
      </c>
      <c r="O99" s="29">
        <f t="shared" si="30"/>
        <v>3.0928160044759319E-5</v>
      </c>
      <c r="P99" s="27">
        <v>154925</v>
      </c>
      <c r="Q99" s="27">
        <v>13290</v>
      </c>
      <c r="R99" s="25">
        <f t="shared" si="25"/>
        <v>168215</v>
      </c>
      <c r="S99" s="30">
        <f t="shared" si="26"/>
        <v>1.3438036817354295E-4</v>
      </c>
      <c r="T99" s="30">
        <f t="shared" si="27"/>
        <v>4.5689325179004603E-5</v>
      </c>
      <c r="U99" s="30">
        <f t="shared" si="31"/>
        <v>2.2570464836114778E-4</v>
      </c>
      <c r="V99" s="31">
        <f t="shared" si="28"/>
        <v>1.0156709176251649E-5</v>
      </c>
      <c r="W99" s="30">
        <f t="shared" si="32"/>
        <v>2.6876073634708589E-6</v>
      </c>
      <c r="X99" s="31">
        <v>55.0001326669543</v>
      </c>
      <c r="Y99" s="32">
        <f t="shared" si="33"/>
        <v>7129.4600902043667</v>
      </c>
      <c r="Z99" s="33">
        <f t="shared" si="34"/>
        <v>3.087424849416332E-3</v>
      </c>
      <c r="AA99" s="33">
        <f t="shared" si="35"/>
        <v>7.7185621235408304E-5</v>
      </c>
      <c r="AB99" s="33">
        <f t="shared" si="36"/>
        <v>2.5471698113207547E-3</v>
      </c>
      <c r="AC99" s="34">
        <f t="shared" si="29"/>
        <v>4.2062475917843626E-3</v>
      </c>
      <c r="AD99" s="35">
        <v>4.2062475917843626E-3</v>
      </c>
      <c r="AE99" s="36">
        <f t="shared" si="37"/>
        <v>0</v>
      </c>
    </row>
    <row r="100" spans="1:32" s="2" customFormat="1" ht="16.149999999999999" customHeight="1" x14ac:dyDescent="0.2">
      <c r="A100" s="20">
        <v>96</v>
      </c>
      <c r="B100" s="21" t="s">
        <v>127</v>
      </c>
      <c r="C100" s="22">
        <v>80672</v>
      </c>
      <c r="D100" s="24">
        <f t="shared" si="20"/>
        <v>3.4758959678538218E-2</v>
      </c>
      <c r="E100" s="24">
        <f t="shared" si="21"/>
        <v>2.2245734194264458E-2</v>
      </c>
      <c r="F100" s="25">
        <v>2788609.47</v>
      </c>
      <c r="G100" s="25">
        <v>7964458.7000000002</v>
      </c>
      <c r="H100" s="25">
        <f t="shared" si="22"/>
        <v>10753068.17</v>
      </c>
      <c r="I100" s="26">
        <f t="shared" si="38"/>
        <v>9.9695824317423288E-3</v>
      </c>
      <c r="J100" s="26">
        <f t="shared" si="23"/>
        <v>3.2899622024749687E-3</v>
      </c>
      <c r="K100" s="27">
        <v>3261751.03</v>
      </c>
      <c r="L100" s="27">
        <v>6571930.9299999997</v>
      </c>
      <c r="M100" s="25">
        <f t="shared" si="24"/>
        <v>9833681.959999999</v>
      </c>
      <c r="N100" s="28">
        <f t="shared" si="39"/>
        <v>9.390774205592714E-3</v>
      </c>
      <c r="O100" s="29">
        <f t="shared" si="30"/>
        <v>3.098955487845596E-3</v>
      </c>
      <c r="P100" s="27">
        <v>4091545.04</v>
      </c>
      <c r="Q100" s="27">
        <v>6137486.6100000003</v>
      </c>
      <c r="R100" s="25">
        <f t="shared" si="25"/>
        <v>10229031.65</v>
      </c>
      <c r="S100" s="30">
        <f t="shared" si="26"/>
        <v>8.1715723281860931E-3</v>
      </c>
      <c r="T100" s="30">
        <f t="shared" si="27"/>
        <v>2.7783345915832719E-3</v>
      </c>
      <c r="U100" s="30">
        <f t="shared" si="31"/>
        <v>9.1672522819038361E-3</v>
      </c>
      <c r="V100" s="31">
        <f t="shared" si="28"/>
        <v>4.1252635268567263E-4</v>
      </c>
      <c r="W100" s="30">
        <f t="shared" si="32"/>
        <v>1.6343144656372186E-4</v>
      </c>
      <c r="X100" s="31">
        <v>53.416208398811101</v>
      </c>
      <c r="Y100" s="32">
        <f t="shared" si="33"/>
        <v>119684.98380904166</v>
      </c>
      <c r="Z100" s="33">
        <f t="shared" si="34"/>
        <v>5.1829786328663537E-2</v>
      </c>
      <c r="AA100" s="33">
        <f t="shared" si="35"/>
        <v>1.2957446582165886E-3</v>
      </c>
      <c r="AB100" s="33">
        <f t="shared" si="36"/>
        <v>2.5471698113207547E-3</v>
      </c>
      <c r="AC100" s="34">
        <f t="shared" si="29"/>
        <v>2.6664606463051195E-2</v>
      </c>
      <c r="AD100" s="35">
        <v>2.6664606463051195E-2</v>
      </c>
      <c r="AE100" s="36">
        <f t="shared" si="37"/>
        <v>0</v>
      </c>
    </row>
    <row r="101" spans="1:32" s="2" customFormat="1" ht="16.149999999999999" customHeight="1" x14ac:dyDescent="0.2">
      <c r="A101" s="20">
        <v>97</v>
      </c>
      <c r="B101" s="21" t="s">
        <v>128</v>
      </c>
      <c r="C101" s="22">
        <v>3684</v>
      </c>
      <c r="D101" s="24">
        <f t="shared" si="20"/>
        <v>1.5873166334754909E-3</v>
      </c>
      <c r="E101" s="24">
        <f t="shared" si="21"/>
        <v>1.0158826454243141E-3</v>
      </c>
      <c r="F101" s="25">
        <v>47510</v>
      </c>
      <c r="G101" s="25">
        <v>4350</v>
      </c>
      <c r="H101" s="25">
        <f t="shared" si="22"/>
        <v>51860</v>
      </c>
      <c r="I101" s="26">
        <f t="shared" si="38"/>
        <v>4.8081397489192815E-5</v>
      </c>
      <c r="J101" s="26">
        <f t="shared" si="23"/>
        <v>1.586686117143363E-5</v>
      </c>
      <c r="K101" s="27">
        <v>49600</v>
      </c>
      <c r="L101" s="27">
        <v>0</v>
      </c>
      <c r="M101" s="25">
        <f t="shared" si="24"/>
        <v>49600</v>
      </c>
      <c r="N101" s="28">
        <f t="shared" si="39"/>
        <v>4.7366022461580468E-5</v>
      </c>
      <c r="O101" s="29">
        <f t="shared" si="30"/>
        <v>1.5630787412321555E-5</v>
      </c>
      <c r="P101" s="27">
        <v>48324</v>
      </c>
      <c r="Q101" s="27">
        <v>240</v>
      </c>
      <c r="R101" s="25">
        <f t="shared" si="25"/>
        <v>48564</v>
      </c>
      <c r="S101" s="30">
        <f t="shared" si="26"/>
        <v>3.8795875516332905E-5</v>
      </c>
      <c r="T101" s="30">
        <f t="shared" si="27"/>
        <v>1.3190597675553189E-5</v>
      </c>
      <c r="U101" s="30">
        <f t="shared" si="31"/>
        <v>4.4688246259308372E-5</v>
      </c>
      <c r="V101" s="31">
        <f t="shared" si="28"/>
        <v>2.0109710816688768E-6</v>
      </c>
      <c r="W101" s="30">
        <f t="shared" si="32"/>
        <v>7.7591751032665809E-7</v>
      </c>
      <c r="X101" s="31">
        <v>51.540020862115803</v>
      </c>
      <c r="Y101" s="32">
        <f t="shared" si="33"/>
        <v>6471.9515937613551</v>
      </c>
      <c r="Z101" s="33">
        <f t="shared" si="34"/>
        <v>2.802689673829939E-3</v>
      </c>
      <c r="AA101" s="33">
        <f t="shared" si="35"/>
        <v>7.0067241845748484E-5</v>
      </c>
      <c r="AB101" s="33">
        <f t="shared" si="36"/>
        <v>2.5471698113207547E-3</v>
      </c>
      <c r="AC101" s="34">
        <f t="shared" si="29"/>
        <v>3.6359065871828127E-3</v>
      </c>
      <c r="AD101" s="35">
        <v>3.6359065871828127E-3</v>
      </c>
      <c r="AE101" s="36">
        <f t="shared" si="37"/>
        <v>0</v>
      </c>
    </row>
    <row r="102" spans="1:32" s="2" customFormat="1" ht="16.149999999999999" customHeight="1" x14ac:dyDescent="0.2">
      <c r="A102" s="20">
        <v>98</v>
      </c>
      <c r="B102" s="21" t="s">
        <v>129</v>
      </c>
      <c r="C102" s="22">
        <v>15346</v>
      </c>
      <c r="D102" s="24">
        <f t="shared" si="20"/>
        <v>6.6120958353189157E-3</v>
      </c>
      <c r="E102" s="24">
        <f t="shared" si="21"/>
        <v>4.2317413346041064E-3</v>
      </c>
      <c r="F102" s="25">
        <v>40558</v>
      </c>
      <c r="G102" s="25">
        <v>36491</v>
      </c>
      <c r="H102" s="25">
        <f t="shared" si="22"/>
        <v>77049</v>
      </c>
      <c r="I102" s="26">
        <f t="shared" si="38"/>
        <v>7.1435086678457715E-5</v>
      </c>
      <c r="J102" s="26">
        <f t="shared" si="23"/>
        <v>2.3573578603891046E-5</v>
      </c>
      <c r="K102" s="27">
        <v>25202.3</v>
      </c>
      <c r="L102" s="27">
        <v>35748</v>
      </c>
      <c r="M102" s="25">
        <f t="shared" si="24"/>
        <v>60950.3</v>
      </c>
      <c r="N102" s="28">
        <f t="shared" si="39"/>
        <v>5.8205106428227182E-5</v>
      </c>
      <c r="O102" s="29">
        <f t="shared" si="30"/>
        <v>1.9207685121314971E-5</v>
      </c>
      <c r="P102" s="27">
        <v>23670.5</v>
      </c>
      <c r="Q102" s="27">
        <v>26566.5</v>
      </c>
      <c r="R102" s="25">
        <f t="shared" si="25"/>
        <v>50237</v>
      </c>
      <c r="S102" s="30">
        <f t="shared" si="26"/>
        <v>4.0132369621818966E-5</v>
      </c>
      <c r="T102" s="30">
        <f t="shared" si="27"/>
        <v>1.3645005671418449E-5</v>
      </c>
      <c r="U102" s="30">
        <f t="shared" si="31"/>
        <v>5.6426269396624466E-5</v>
      </c>
      <c r="V102" s="31">
        <f t="shared" si="28"/>
        <v>2.539182122848101E-6</v>
      </c>
      <c r="W102" s="30">
        <f t="shared" si="32"/>
        <v>8.0264739243637932E-7</v>
      </c>
      <c r="X102" s="31">
        <v>53.404542909139003</v>
      </c>
      <c r="Y102" s="32">
        <f t="shared" si="33"/>
        <v>22793.391585580961</v>
      </c>
      <c r="Z102" s="33">
        <f t="shared" si="34"/>
        <v>9.870717094060141E-3</v>
      </c>
      <c r="AA102" s="33">
        <f t="shared" si="35"/>
        <v>2.4676792735150353E-4</v>
      </c>
      <c r="AB102" s="33">
        <f t="shared" si="36"/>
        <v>2.5471698113207547E-3</v>
      </c>
      <c r="AC102" s="34">
        <f t="shared" si="29"/>
        <v>7.02902090279165E-3</v>
      </c>
      <c r="AD102" s="35">
        <v>7.02902090279165E-3</v>
      </c>
      <c r="AE102" s="36">
        <f t="shared" si="37"/>
        <v>0</v>
      </c>
    </row>
    <row r="103" spans="1:32" s="2" customFormat="1" ht="16.149999999999999" customHeight="1" x14ac:dyDescent="0.2">
      <c r="A103" s="20">
        <v>99</v>
      </c>
      <c r="B103" s="21" t="s">
        <v>130</v>
      </c>
      <c r="C103" s="22">
        <v>4191</v>
      </c>
      <c r="D103" s="24">
        <f t="shared" si="20"/>
        <v>1.8057665610466294E-3</v>
      </c>
      <c r="E103" s="24">
        <f t="shared" si="21"/>
        <v>1.1556905990698428E-3</v>
      </c>
      <c r="F103" s="25">
        <v>7110</v>
      </c>
      <c r="G103" s="25">
        <v>0</v>
      </c>
      <c r="H103" s="25">
        <f t="shared" si="22"/>
        <v>7110</v>
      </c>
      <c r="I103" s="26">
        <f t="shared" si="38"/>
        <v>6.5919540329379279E-6</v>
      </c>
      <c r="J103" s="26">
        <f t="shared" si="23"/>
        <v>2.1753448308695161E-6</v>
      </c>
      <c r="K103" s="27">
        <v>0</v>
      </c>
      <c r="L103" s="27">
        <v>0</v>
      </c>
      <c r="M103" s="25">
        <f t="shared" si="24"/>
        <v>0</v>
      </c>
      <c r="N103" s="28">
        <f t="shared" si="39"/>
        <v>0</v>
      </c>
      <c r="O103" s="29">
        <f t="shared" si="30"/>
        <v>0</v>
      </c>
      <c r="P103" s="27">
        <v>2951.06</v>
      </c>
      <c r="Q103" s="27">
        <v>0</v>
      </c>
      <c r="R103" s="25">
        <f t="shared" si="25"/>
        <v>2951.06</v>
      </c>
      <c r="S103" s="30">
        <f t="shared" si="26"/>
        <v>2.3574861296686718E-6</v>
      </c>
      <c r="T103" s="30">
        <f t="shared" si="27"/>
        <v>8.0154528408734849E-7</v>
      </c>
      <c r="U103" s="30">
        <f t="shared" si="31"/>
        <v>2.9768901149568645E-6</v>
      </c>
      <c r="V103" s="31">
        <f t="shared" si="28"/>
        <v>1.3396005517305889E-7</v>
      </c>
      <c r="W103" s="30">
        <f t="shared" si="32"/>
        <v>4.7149722593373439E-8</v>
      </c>
      <c r="X103" s="31">
        <v>49.6852777840841</v>
      </c>
      <c r="Y103" s="32">
        <f t="shared" si="33"/>
        <v>8494.4175174851516</v>
      </c>
      <c r="Z103" s="33">
        <f t="shared" si="34"/>
        <v>3.6785219908635862E-3</v>
      </c>
      <c r="AA103" s="33">
        <f t="shared" si="35"/>
        <v>9.1963049771589655E-5</v>
      </c>
      <c r="AB103" s="33">
        <f t="shared" si="36"/>
        <v>2.5471698113207547E-3</v>
      </c>
      <c r="AC103" s="34">
        <f t="shared" si="29"/>
        <v>3.7950045699399536E-3</v>
      </c>
      <c r="AD103" s="35">
        <v>3.7950045699399536E-3</v>
      </c>
      <c r="AE103" s="36">
        <f t="shared" si="37"/>
        <v>0</v>
      </c>
    </row>
    <row r="104" spans="1:32" s="2" customFormat="1" ht="16.149999999999999" customHeight="1" x14ac:dyDescent="0.2">
      <c r="A104" s="20">
        <v>100</v>
      </c>
      <c r="B104" s="21" t="s">
        <v>131</v>
      </c>
      <c r="C104" s="22">
        <v>4049</v>
      </c>
      <c r="D104" s="24">
        <f t="shared" si="20"/>
        <v>1.7445833466184209E-3</v>
      </c>
      <c r="E104" s="24">
        <f t="shared" si="21"/>
        <v>1.1165333418357893E-3</v>
      </c>
      <c r="F104" s="25">
        <v>272783.08</v>
      </c>
      <c r="G104" s="25">
        <v>6525</v>
      </c>
      <c r="H104" s="25">
        <f t="shared" si="22"/>
        <v>279308.08</v>
      </c>
      <c r="I104" s="26">
        <f t="shared" si="38"/>
        <v>2.589572467493881E-4</v>
      </c>
      <c r="J104" s="26">
        <f t="shared" si="23"/>
        <v>8.5455891427298081E-5</v>
      </c>
      <c r="K104" s="27">
        <v>436985.07</v>
      </c>
      <c r="L104" s="27">
        <v>9340</v>
      </c>
      <c r="M104" s="25">
        <f t="shared" si="24"/>
        <v>446325.07</v>
      </c>
      <c r="N104" s="28">
        <f t="shared" si="39"/>
        <v>4.262226469916628E-4</v>
      </c>
      <c r="O104" s="29">
        <f t="shared" si="30"/>
        <v>1.4065347350724873E-4</v>
      </c>
      <c r="P104" s="27">
        <v>308846.09999999998</v>
      </c>
      <c r="Q104" s="27">
        <v>10860</v>
      </c>
      <c r="R104" s="25">
        <f t="shared" si="25"/>
        <v>319706.09999999998</v>
      </c>
      <c r="S104" s="30">
        <f t="shared" si="26"/>
        <v>2.5540066834305823E-4</v>
      </c>
      <c r="T104" s="30">
        <f t="shared" si="27"/>
        <v>8.6836227236639804E-5</v>
      </c>
      <c r="U104" s="30">
        <f t="shared" si="31"/>
        <v>3.1294559217118662E-4</v>
      </c>
      <c r="V104" s="31">
        <f t="shared" si="28"/>
        <v>1.4082551647703397E-5</v>
      </c>
      <c r="W104" s="30">
        <f t="shared" si="32"/>
        <v>5.1080133668611645E-6</v>
      </c>
      <c r="X104" s="31">
        <v>54.379222795855398</v>
      </c>
      <c r="Y104" s="32">
        <f t="shared" si="33"/>
        <v>5439.3665165790608</v>
      </c>
      <c r="Z104" s="33">
        <f t="shared" si="34"/>
        <v>2.355526945363398E-3</v>
      </c>
      <c r="AA104" s="33">
        <f t="shared" si="35"/>
        <v>5.888817363408495E-5</v>
      </c>
      <c r="AB104" s="33">
        <f t="shared" si="36"/>
        <v>2.5471698113207547E-3</v>
      </c>
      <c r="AC104" s="34">
        <f t="shared" si="29"/>
        <v>3.7417818918051935E-3</v>
      </c>
      <c r="AD104" s="35">
        <v>3.7417818918051935E-3</v>
      </c>
      <c r="AE104" s="36">
        <f t="shared" si="37"/>
        <v>0</v>
      </c>
    </row>
    <row r="105" spans="1:32" s="2" customFormat="1" ht="16.149999999999999" customHeight="1" x14ac:dyDescent="0.2">
      <c r="A105" s="20">
        <v>101</v>
      </c>
      <c r="B105" s="21" t="s">
        <v>132</v>
      </c>
      <c r="C105" s="22">
        <v>69147</v>
      </c>
      <c r="D105" s="24">
        <f t="shared" si="20"/>
        <v>2.9793209352586801E-2</v>
      </c>
      <c r="E105" s="24">
        <f t="shared" si="21"/>
        <v>1.9067653985655554E-2</v>
      </c>
      <c r="F105" s="25">
        <v>8767072.2100000009</v>
      </c>
      <c r="G105" s="25">
        <v>9310325.2899999991</v>
      </c>
      <c r="H105" s="25">
        <f t="shared" si="22"/>
        <v>18077397.5</v>
      </c>
      <c r="I105" s="26">
        <f t="shared" si="38"/>
        <v>1.676024941703896E-2</v>
      </c>
      <c r="J105" s="26">
        <f t="shared" si="23"/>
        <v>5.5308823076228569E-3</v>
      </c>
      <c r="K105" s="27">
        <v>11222257.609999999</v>
      </c>
      <c r="L105" s="27">
        <v>7642452.0999999996</v>
      </c>
      <c r="M105" s="25">
        <f t="shared" si="24"/>
        <v>18864709.710000001</v>
      </c>
      <c r="N105" s="28">
        <f t="shared" si="39"/>
        <v>1.8015045642239016E-2</v>
      </c>
      <c r="O105" s="29">
        <f t="shared" si="30"/>
        <v>5.9449650619388759E-3</v>
      </c>
      <c r="P105" s="27">
        <v>11924264.9</v>
      </c>
      <c r="Q105" s="27">
        <v>8305060.3899999997</v>
      </c>
      <c r="R105" s="25">
        <f t="shared" si="25"/>
        <v>20229325.289999999</v>
      </c>
      <c r="S105" s="30">
        <f t="shared" si="26"/>
        <v>1.6160414828478811E-2</v>
      </c>
      <c r="T105" s="30">
        <f t="shared" si="27"/>
        <v>5.4945410416827965E-3</v>
      </c>
      <c r="U105" s="30">
        <f t="shared" si="31"/>
        <v>1.6970388411244527E-2</v>
      </c>
      <c r="V105" s="31">
        <f t="shared" si="28"/>
        <v>7.6366747850600369E-4</v>
      </c>
      <c r="W105" s="30">
        <f t="shared" si="32"/>
        <v>3.2320829656957626E-4</v>
      </c>
      <c r="X105" s="31">
        <v>57.140115403614402</v>
      </c>
      <c r="Y105" s="32">
        <f t="shared" si="33"/>
        <v>65094.930291121491</v>
      </c>
      <c r="Z105" s="33">
        <f t="shared" si="34"/>
        <v>2.8189470564252982E-2</v>
      </c>
      <c r="AA105" s="33">
        <f t="shared" si="35"/>
        <v>7.0473676410632462E-4</v>
      </c>
      <c r="AB105" s="33">
        <f t="shared" si="36"/>
        <v>2.5471698113207547E-3</v>
      </c>
      <c r="AC105" s="34">
        <f t="shared" si="29"/>
        <v>2.3406436336158215E-2</v>
      </c>
      <c r="AD105" s="35">
        <v>2.3406436336158215E-2</v>
      </c>
      <c r="AE105" s="36">
        <f t="shared" si="37"/>
        <v>0</v>
      </c>
    </row>
    <row r="106" spans="1:32" s="2" customFormat="1" ht="16.149999999999999" customHeight="1" x14ac:dyDescent="0.2">
      <c r="A106" s="20">
        <v>102</v>
      </c>
      <c r="B106" s="21" t="s">
        <v>133</v>
      </c>
      <c r="C106" s="22">
        <v>85460</v>
      </c>
      <c r="D106" s="24">
        <f t="shared" si="20"/>
        <v>3.6821954260807671E-2</v>
      </c>
      <c r="E106" s="24">
        <f t="shared" si="21"/>
        <v>2.356605072691691E-2</v>
      </c>
      <c r="F106" s="25">
        <v>3833121.11</v>
      </c>
      <c r="G106" s="25">
        <v>16571474.83</v>
      </c>
      <c r="H106" s="25">
        <f t="shared" si="22"/>
        <v>20404595.940000001</v>
      </c>
      <c r="I106" s="26">
        <f t="shared" si="38"/>
        <v>1.8917884458108561E-2</v>
      </c>
      <c r="J106" s="26">
        <f t="shared" si="23"/>
        <v>6.2429018711758254E-3</v>
      </c>
      <c r="K106" s="27">
        <v>3556475.68</v>
      </c>
      <c r="L106" s="27">
        <v>14387359.310000001</v>
      </c>
      <c r="M106" s="25">
        <f t="shared" si="24"/>
        <v>17943834.990000002</v>
      </c>
      <c r="N106" s="28">
        <f t="shared" si="39"/>
        <v>1.7135646999661969E-2</v>
      </c>
      <c r="O106" s="29">
        <f t="shared" si="30"/>
        <v>5.6547635098884502E-3</v>
      </c>
      <c r="P106" s="27">
        <v>4961059.62</v>
      </c>
      <c r="Q106" s="27">
        <v>18613548.280000001</v>
      </c>
      <c r="R106" s="25">
        <f t="shared" si="25"/>
        <v>23574607.900000002</v>
      </c>
      <c r="S106" s="30">
        <f t="shared" si="26"/>
        <v>1.8832829944707159E-2</v>
      </c>
      <c r="T106" s="30">
        <f t="shared" si="27"/>
        <v>6.4031621812004344E-3</v>
      </c>
      <c r="U106" s="30">
        <f t="shared" si="31"/>
        <v>1.8300827562264709E-2</v>
      </c>
      <c r="V106" s="31">
        <f t="shared" si="28"/>
        <v>8.2353724030191189E-4</v>
      </c>
      <c r="W106" s="30">
        <f t="shared" si="32"/>
        <v>3.7665659889414316E-4</v>
      </c>
      <c r="X106" s="31">
        <v>54.517075111596697</v>
      </c>
      <c r="Y106" s="32">
        <f t="shared" si="33"/>
        <v>113090.40279620489</v>
      </c>
      <c r="Z106" s="33">
        <f t="shared" si="34"/>
        <v>4.8973991775791897E-2</v>
      </c>
      <c r="AA106" s="33">
        <f t="shared" si="35"/>
        <v>1.2243497943947976E-3</v>
      </c>
      <c r="AB106" s="33">
        <f t="shared" si="36"/>
        <v>2.5471698113207547E-3</v>
      </c>
      <c r="AC106" s="34">
        <f t="shared" si="29"/>
        <v>2.8537764171828517E-2</v>
      </c>
      <c r="AD106" s="35">
        <v>2.8537764171828517E-2</v>
      </c>
      <c r="AE106" s="36">
        <f t="shared" si="37"/>
        <v>0</v>
      </c>
    </row>
    <row r="107" spans="1:32" s="2" customFormat="1" ht="16.149999999999999" customHeight="1" x14ac:dyDescent="0.2">
      <c r="A107" s="20">
        <v>103</v>
      </c>
      <c r="B107" s="39" t="s">
        <v>134</v>
      </c>
      <c r="C107" s="22">
        <v>3451</v>
      </c>
      <c r="D107" s="24">
        <f t="shared" si="20"/>
        <v>1.4869244576883602E-3</v>
      </c>
      <c r="E107" s="24">
        <f t="shared" si="21"/>
        <v>9.5163165292055062E-4</v>
      </c>
      <c r="F107" s="25">
        <v>7060</v>
      </c>
      <c r="G107" s="25">
        <v>4830</v>
      </c>
      <c r="H107" s="25">
        <f t="shared" si="22"/>
        <v>11890</v>
      </c>
      <c r="I107" s="26">
        <f t="shared" si="38"/>
        <v>1.1023675590946829E-5</v>
      </c>
      <c r="J107" s="26">
        <f t="shared" si="23"/>
        <v>3.6378129450124539E-6</v>
      </c>
      <c r="K107" s="27">
        <v>11224.94</v>
      </c>
      <c r="L107" s="27">
        <v>8258</v>
      </c>
      <c r="M107" s="25">
        <f t="shared" si="24"/>
        <v>19482.940000000002</v>
      </c>
      <c r="N107" s="28">
        <f t="shared" si="39"/>
        <v>1.8605430920516625E-5</v>
      </c>
      <c r="O107" s="29">
        <f t="shared" si="30"/>
        <v>6.1397922037704864E-6</v>
      </c>
      <c r="P107" s="27">
        <v>31221.24</v>
      </c>
      <c r="Q107" s="27">
        <v>8145</v>
      </c>
      <c r="R107" s="25">
        <f t="shared" si="25"/>
        <v>39366.240000000005</v>
      </c>
      <c r="S107" s="30">
        <f t="shared" si="26"/>
        <v>3.1448145675522719E-5</v>
      </c>
      <c r="T107" s="30">
        <f t="shared" si="27"/>
        <v>1.0692369529677725E-5</v>
      </c>
      <c r="U107" s="30">
        <f t="shared" si="31"/>
        <v>2.0469974678460666E-5</v>
      </c>
      <c r="V107" s="31">
        <f t="shared" si="28"/>
        <v>9.2114886053072994E-7</v>
      </c>
      <c r="W107" s="30">
        <f t="shared" si="32"/>
        <v>6.2896291351045442E-7</v>
      </c>
      <c r="X107" s="31">
        <v>51.462046075133301</v>
      </c>
      <c r="Y107" s="32">
        <f t="shared" si="33"/>
        <v>6101.8031416304957</v>
      </c>
      <c r="Z107" s="33">
        <f t="shared" si="34"/>
        <v>2.6423962554472506E-3</v>
      </c>
      <c r="AA107" s="33">
        <f t="shared" si="35"/>
        <v>6.6059906386181264E-5</v>
      </c>
      <c r="AB107" s="33">
        <f t="shared" si="36"/>
        <v>2.5471698113207547E-3</v>
      </c>
      <c r="AC107" s="34">
        <f t="shared" si="29"/>
        <v>3.5664114824015278E-3</v>
      </c>
      <c r="AD107" s="35">
        <v>3.5664114824015278E-3</v>
      </c>
      <c r="AE107" s="36">
        <f t="shared" si="37"/>
        <v>0</v>
      </c>
    </row>
    <row r="108" spans="1:32" s="2" customFormat="1" ht="16.149999999999999" customHeight="1" x14ac:dyDescent="0.2">
      <c r="A108" s="20">
        <v>104</v>
      </c>
      <c r="B108" s="21" t="s">
        <v>135</v>
      </c>
      <c r="C108" s="22">
        <v>16350</v>
      </c>
      <c r="D108" s="24">
        <f t="shared" si="20"/>
        <v>7.0446870133887831E-3</v>
      </c>
      <c r="E108" s="24">
        <f t="shared" si="21"/>
        <v>4.5085996885688212E-3</v>
      </c>
      <c r="F108" s="25">
        <v>0</v>
      </c>
      <c r="G108" s="25">
        <v>0</v>
      </c>
      <c r="H108" s="25">
        <f t="shared" si="22"/>
        <v>0</v>
      </c>
      <c r="I108" s="26">
        <f t="shared" si="38"/>
        <v>0</v>
      </c>
      <c r="J108" s="26">
        <f t="shared" si="23"/>
        <v>0</v>
      </c>
      <c r="K108" s="27">
        <v>0</v>
      </c>
      <c r="L108" s="27">
        <v>50000</v>
      </c>
      <c r="M108" s="25">
        <f t="shared" si="24"/>
        <v>50000</v>
      </c>
      <c r="N108" s="28">
        <f t="shared" si="39"/>
        <v>4.7748006513689989E-5</v>
      </c>
      <c r="O108" s="29">
        <f t="shared" si="30"/>
        <v>1.5756842149517696E-5</v>
      </c>
      <c r="P108" s="27">
        <v>72210</v>
      </c>
      <c r="Q108" s="27">
        <v>13745</v>
      </c>
      <c r="R108" s="25">
        <f t="shared" si="25"/>
        <v>85955</v>
      </c>
      <c r="S108" s="30">
        <f t="shared" si="26"/>
        <v>6.8666079400510563E-5</v>
      </c>
      <c r="T108" s="30">
        <f t="shared" si="27"/>
        <v>2.3346466996173594E-5</v>
      </c>
      <c r="U108" s="30">
        <f t="shared" si="31"/>
        <v>3.9103309145691287E-5</v>
      </c>
      <c r="V108" s="31">
        <f t="shared" si="28"/>
        <v>1.7596489115561078E-6</v>
      </c>
      <c r="W108" s="30">
        <f t="shared" si="32"/>
        <v>1.3733215880102112E-6</v>
      </c>
      <c r="X108" s="31">
        <v>49.328247322259301</v>
      </c>
      <c r="Y108" s="32">
        <f t="shared" si="33"/>
        <v>33988.497554522372</v>
      </c>
      <c r="Z108" s="33">
        <f t="shared" si="34"/>
        <v>1.4718776824115804E-2</v>
      </c>
      <c r="AA108" s="33">
        <f t="shared" si="35"/>
        <v>3.6796942060289512E-4</v>
      </c>
      <c r="AB108" s="33">
        <f t="shared" si="36"/>
        <v>2.5471698113207547E-3</v>
      </c>
      <c r="AC108" s="34">
        <f t="shared" si="29"/>
        <v>7.4268718909920378E-3</v>
      </c>
      <c r="AD108" s="35">
        <v>7.4268718909920378E-3</v>
      </c>
      <c r="AE108" s="36">
        <f t="shared" si="37"/>
        <v>0</v>
      </c>
    </row>
    <row r="109" spans="1:32" s="2" customFormat="1" ht="16.149999999999999" customHeight="1" x14ac:dyDescent="0.2">
      <c r="A109" s="20">
        <v>105</v>
      </c>
      <c r="B109" s="39" t="s">
        <v>136</v>
      </c>
      <c r="C109" s="22">
        <v>3293</v>
      </c>
      <c r="D109" s="24">
        <f t="shared" si="20"/>
        <v>1.4188473599442974E-3</v>
      </c>
      <c r="E109" s="24">
        <f t="shared" si="21"/>
        <v>9.0806231036435038E-4</v>
      </c>
      <c r="F109" s="25">
        <v>422903</v>
      </c>
      <c r="G109" s="25">
        <v>0</v>
      </c>
      <c r="H109" s="25">
        <f t="shared" si="22"/>
        <v>422903</v>
      </c>
      <c r="I109" s="26">
        <f t="shared" si="38"/>
        <v>3.9208961130682822E-4</v>
      </c>
      <c r="J109" s="26">
        <f t="shared" si="23"/>
        <v>1.2938957173125331E-4</v>
      </c>
      <c r="K109" s="27">
        <v>98594</v>
      </c>
      <c r="L109" s="27">
        <v>0</v>
      </c>
      <c r="M109" s="25">
        <f t="shared" si="24"/>
        <v>98594</v>
      </c>
      <c r="N109" s="28">
        <f t="shared" si="39"/>
        <v>9.4153339084215016E-5</v>
      </c>
      <c r="O109" s="29">
        <f t="shared" si="30"/>
        <v>3.1070601897790959E-5</v>
      </c>
      <c r="P109" s="27">
        <v>177628</v>
      </c>
      <c r="Q109" s="27">
        <v>0</v>
      </c>
      <c r="R109" s="25">
        <f t="shared" si="25"/>
        <v>177628</v>
      </c>
      <c r="S109" s="30">
        <f t="shared" si="26"/>
        <v>1.4190004481128371E-4</v>
      </c>
      <c r="T109" s="30">
        <f t="shared" si="27"/>
        <v>4.8246015235836463E-5</v>
      </c>
      <c r="U109" s="30">
        <f t="shared" si="31"/>
        <v>2.0870618886488073E-4</v>
      </c>
      <c r="V109" s="31">
        <f t="shared" si="28"/>
        <v>9.3917784989196331E-6</v>
      </c>
      <c r="W109" s="30">
        <f t="shared" si="32"/>
        <v>2.8380008962256742E-6</v>
      </c>
      <c r="X109" s="31">
        <v>55.812858213195398</v>
      </c>
      <c r="Y109" s="32">
        <f t="shared" si="33"/>
        <v>3736.3953508147615</v>
      </c>
      <c r="Z109" s="33">
        <f t="shared" si="34"/>
        <v>1.6180523780754445E-3</v>
      </c>
      <c r="AA109" s="33">
        <f t="shared" si="35"/>
        <v>4.0451309451886116E-5</v>
      </c>
      <c r="AB109" s="33">
        <f t="shared" si="36"/>
        <v>2.5471698113207547E-3</v>
      </c>
      <c r="AC109" s="34">
        <f t="shared" si="29"/>
        <v>3.5079132105321365E-3</v>
      </c>
      <c r="AD109" s="35">
        <v>3.5079132105321365E-3</v>
      </c>
      <c r="AE109" s="36">
        <f t="shared" si="37"/>
        <v>0</v>
      </c>
    </row>
    <row r="110" spans="1:32" s="2" customFormat="1" ht="16.149999999999999" customHeight="1" x14ac:dyDescent="0.2">
      <c r="A110" s="20">
        <v>106</v>
      </c>
      <c r="B110" s="21" t="s">
        <v>137</v>
      </c>
      <c r="C110" s="22">
        <v>2215</v>
      </c>
      <c r="D110" s="24">
        <f t="shared" si="20"/>
        <v>9.5437197153860269E-4</v>
      </c>
      <c r="E110" s="24">
        <f t="shared" si="21"/>
        <v>6.1079806178470579E-4</v>
      </c>
      <c r="F110" s="25">
        <v>561929</v>
      </c>
      <c r="G110" s="25">
        <v>46236</v>
      </c>
      <c r="H110" s="25">
        <f t="shared" si="22"/>
        <v>608165</v>
      </c>
      <c r="I110" s="26">
        <f t="shared" si="38"/>
        <v>5.6385312580051964E-4</v>
      </c>
      <c r="J110" s="26">
        <f t="shared" si="23"/>
        <v>1.8607153151417149E-4</v>
      </c>
      <c r="K110" s="27">
        <v>448928.5</v>
      </c>
      <c r="L110" s="27">
        <v>59557</v>
      </c>
      <c r="M110" s="25">
        <f t="shared" si="24"/>
        <v>508485.5</v>
      </c>
      <c r="N110" s="28">
        <f t="shared" si="39"/>
        <v>4.8558337932233823E-4</v>
      </c>
      <c r="O110" s="29">
        <f t="shared" si="30"/>
        <v>1.6024251517637162E-4</v>
      </c>
      <c r="P110" s="27">
        <v>14252.6</v>
      </c>
      <c r="Q110" s="27">
        <v>0</v>
      </c>
      <c r="R110" s="25">
        <f t="shared" si="25"/>
        <v>14252.6</v>
      </c>
      <c r="S110" s="30">
        <f t="shared" si="26"/>
        <v>1.1385843328063717E-5</v>
      </c>
      <c r="T110" s="30">
        <f t="shared" si="27"/>
        <v>3.8711867315416637E-6</v>
      </c>
      <c r="U110" s="30">
        <f t="shared" si="31"/>
        <v>3.5018523342208476E-4</v>
      </c>
      <c r="V110" s="31">
        <f t="shared" si="28"/>
        <v>1.5758335503993813E-5</v>
      </c>
      <c r="W110" s="30">
        <f t="shared" si="32"/>
        <v>2.2771686656127436E-7</v>
      </c>
      <c r="X110" s="31">
        <v>54.357342749490201</v>
      </c>
      <c r="Y110" s="32">
        <f t="shared" si="33"/>
        <v>2982.654533918409</v>
      </c>
      <c r="Z110" s="33">
        <f t="shared" si="34"/>
        <v>1.2916436320187068E-3</v>
      </c>
      <c r="AA110" s="33">
        <f t="shared" si="35"/>
        <v>3.2291090800467669E-5</v>
      </c>
      <c r="AB110" s="33">
        <f t="shared" si="36"/>
        <v>2.5471698113207547E-3</v>
      </c>
      <c r="AC110" s="34">
        <f t="shared" si="29"/>
        <v>3.2062450162764831E-3</v>
      </c>
      <c r="AD110" s="35">
        <v>3.2062450162764831E-3</v>
      </c>
      <c r="AE110" s="36">
        <f t="shared" si="37"/>
        <v>0</v>
      </c>
    </row>
    <row r="111" spans="1:32" s="2" customFormat="1" ht="16.149999999999999" customHeight="1" x14ac:dyDescent="0.2">
      <c r="O111" s="40"/>
      <c r="P111" s="40"/>
      <c r="Q111" s="40"/>
      <c r="R111" s="40"/>
      <c r="S111" s="40"/>
      <c r="T111" s="40"/>
      <c r="AD111" s="35"/>
      <c r="AE111" s="35"/>
      <c r="AF111" s="35"/>
    </row>
    <row r="112" spans="1:32" s="2" customFormat="1" ht="16.149999999999999" customHeight="1" x14ac:dyDescent="0.2">
      <c r="B112" s="41" t="s">
        <v>138</v>
      </c>
      <c r="C112" s="42">
        <f t="shared" ref="C112:AC112" si="40">SUM(C5:C110)</f>
        <v>2320898</v>
      </c>
      <c r="D112" s="43">
        <f t="shared" si="40"/>
        <v>1</v>
      </c>
      <c r="E112" s="44">
        <f t="shared" si="40"/>
        <v>0.64000000000000012</v>
      </c>
      <c r="F112" s="42">
        <f t="shared" si="40"/>
        <v>635943264.55000007</v>
      </c>
      <c r="G112" s="42">
        <f t="shared" si="40"/>
        <v>442644353.69999999</v>
      </c>
      <c r="H112" s="42">
        <f t="shared" si="40"/>
        <v>1078587618.2499998</v>
      </c>
      <c r="I112" s="43">
        <f t="shared" si="40"/>
        <v>1.0000000000000002</v>
      </c>
      <c r="J112" s="45">
        <f>SUM(J5:J110)</f>
        <v>0.33000000000000018</v>
      </c>
      <c r="K112" s="42">
        <f t="shared" si="40"/>
        <v>667567104.69999993</v>
      </c>
      <c r="L112" s="42">
        <f t="shared" si="40"/>
        <v>379597031.58000004</v>
      </c>
      <c r="M112" s="42">
        <f t="shared" si="40"/>
        <v>1047164136.2800002</v>
      </c>
      <c r="N112" s="43">
        <f t="shared" si="40"/>
        <v>0.99999999999999978</v>
      </c>
      <c r="O112" s="45">
        <f t="shared" si="40"/>
        <v>0.32999999999999974</v>
      </c>
      <c r="P112" s="46">
        <f>SUM(P5:P110)</f>
        <v>763629594.21999991</v>
      </c>
      <c r="Q112" s="46">
        <f t="shared" si="40"/>
        <v>488152956.20999992</v>
      </c>
      <c r="R112" s="46">
        <f t="shared" si="40"/>
        <v>1251782550.4300001</v>
      </c>
      <c r="S112" s="43">
        <f t="shared" si="40"/>
        <v>1</v>
      </c>
      <c r="T112" s="45">
        <f t="shared" si="40"/>
        <v>0.34000000000000014</v>
      </c>
      <c r="U112" s="47">
        <f>SUM(U5:U110)</f>
        <v>1.0000000000000002</v>
      </c>
      <c r="V112" s="48">
        <f t="shared" si="40"/>
        <v>4.5000000000000005E-2</v>
      </c>
      <c r="W112" s="49">
        <f t="shared" si="40"/>
        <v>2.0000000000000011E-2</v>
      </c>
      <c r="X112" s="50">
        <f>SUM(X5:X110)</f>
        <v>5655.0866771990095</v>
      </c>
      <c r="Y112" s="42">
        <f>SUM(Y5:Y110)</f>
        <v>2309193.0777042778</v>
      </c>
      <c r="Z112" s="43">
        <f t="shared" si="40"/>
        <v>0.99999999999999989</v>
      </c>
      <c r="AA112" s="44">
        <f t="shared" si="40"/>
        <v>2.4999999999999988E-2</v>
      </c>
      <c r="AB112" s="44">
        <f t="shared" si="40"/>
        <v>0.26999999999999952</v>
      </c>
      <c r="AC112" s="51">
        <f t="shared" si="40"/>
        <v>1.0000000000000002</v>
      </c>
    </row>
    <row r="113" spans="3:28" x14ac:dyDescent="0.25">
      <c r="C113" s="52" t="s">
        <v>139</v>
      </c>
      <c r="D113" s="53"/>
      <c r="E113" s="53"/>
      <c r="F113" s="53"/>
      <c r="G113" s="53"/>
      <c r="H113" s="53"/>
      <c r="I113" s="53"/>
    </row>
    <row r="114" spans="3:28" x14ac:dyDescent="0.25">
      <c r="C114" s="53" t="s">
        <v>140</v>
      </c>
      <c r="D114" s="53"/>
      <c r="E114" s="53"/>
      <c r="F114" s="53"/>
      <c r="G114" s="53"/>
      <c r="H114" s="53"/>
      <c r="I114" s="53"/>
    </row>
    <row r="115" spans="3:28" x14ac:dyDescent="0.25">
      <c r="C115" s="53" t="s">
        <v>141</v>
      </c>
      <c r="D115" s="53"/>
      <c r="E115" s="53"/>
      <c r="F115" s="53"/>
      <c r="G115" s="53"/>
      <c r="H115" s="53"/>
    </row>
    <row r="116" spans="3:28" x14ac:dyDescent="0.25">
      <c r="C116" t="s">
        <v>142</v>
      </c>
    </row>
    <row r="118" spans="3:28" x14ac:dyDescent="0.25">
      <c r="E118" s="54">
        <f>E112</f>
        <v>0.64000000000000012</v>
      </c>
      <c r="V118" s="55">
        <f>V112+E118</f>
        <v>0.68500000000000016</v>
      </c>
      <c r="W118" s="55">
        <f>W112+V118</f>
        <v>0.70500000000000018</v>
      </c>
      <c r="AA118" s="55">
        <f>W118+AA112</f>
        <v>0.7300000000000002</v>
      </c>
      <c r="AB118" s="56">
        <f>AA118+AB112</f>
        <v>0.99999999999999978</v>
      </c>
    </row>
    <row r="123" spans="3:28" x14ac:dyDescent="0.25">
      <c r="C123" t="s">
        <v>143</v>
      </c>
    </row>
    <row r="124" spans="3:28" x14ac:dyDescent="0.25">
      <c r="C124" t="s">
        <v>144</v>
      </c>
    </row>
  </sheetData>
  <mergeCells count="8">
    <mergeCell ref="C1:AC1"/>
    <mergeCell ref="C3:E3"/>
    <mergeCell ref="F3:J3"/>
    <mergeCell ref="K3:O3"/>
    <mergeCell ref="P3:T3"/>
    <mergeCell ref="U3:V3"/>
    <mergeCell ref="X3:AA3"/>
    <mergeCell ref="AC3:AC4"/>
  </mergeCells>
  <pageMargins left="0.19685039370078741" right="0.23622047244094491" top="0.27559055118110237" bottom="0.27559055118110237" header="0.19685039370078741" footer="0.19685039370078741"/>
  <pageSetup paperSize="5" scale="45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09"/>
  <sheetViews>
    <sheetView zoomScaleNormal="100" workbookViewId="0">
      <pane xSplit="4" ySplit="4" topLeftCell="E83" activePane="bottomRight" state="frozen"/>
      <selection activeCell="K11" sqref="K11"/>
      <selection pane="topRight" activeCell="K11" sqref="K11"/>
      <selection pane="bottomLeft" activeCell="K11" sqref="K11"/>
      <selection pane="bottomRight" activeCell="A90" sqref="A90"/>
    </sheetView>
  </sheetViews>
  <sheetFormatPr baseColWidth="10" defaultRowHeight="15" x14ac:dyDescent="0.25"/>
  <cols>
    <col min="2" max="2" width="3.42578125" bestFit="1" customWidth="1"/>
    <col min="3" max="3" width="18" customWidth="1"/>
    <col min="6" max="6" width="13.140625" customWidth="1"/>
    <col min="10" max="10" width="12" customWidth="1"/>
    <col min="17" max="17" width="13.42578125" customWidth="1"/>
    <col min="18" max="18" width="13.140625" customWidth="1"/>
    <col min="19" max="19" width="14" customWidth="1"/>
    <col min="26" max="26" width="14.5703125" bestFit="1" customWidth="1"/>
    <col min="27" max="27" width="12.140625" bestFit="1" customWidth="1"/>
    <col min="28" max="29" width="12" bestFit="1" customWidth="1"/>
    <col min="30" max="30" width="13.5703125" customWidth="1"/>
    <col min="31" max="31" width="13.5703125" hidden="1" customWidth="1"/>
    <col min="32" max="33" width="13.5703125" customWidth="1"/>
    <col min="34" max="38" width="0" hidden="1" customWidth="1"/>
    <col min="39" max="39" width="12.42578125" hidden="1" customWidth="1"/>
    <col min="40" max="40" width="12.5703125" hidden="1" customWidth="1"/>
    <col min="41" max="41" width="39.7109375" hidden="1" customWidth="1"/>
    <col min="42" max="42" width="0" hidden="1" customWidth="1"/>
    <col min="261" max="261" width="3.42578125" bestFit="1" customWidth="1"/>
    <col min="262" max="262" width="18" customWidth="1"/>
    <col min="265" max="265" width="13.140625" customWidth="1"/>
    <col min="269" max="269" width="12" customWidth="1"/>
    <col min="276" max="276" width="13.42578125" customWidth="1"/>
    <col min="277" max="277" width="13.140625" customWidth="1"/>
    <col min="278" max="278" width="14" customWidth="1"/>
    <col min="286" max="286" width="13.7109375" customWidth="1"/>
    <col min="290" max="290" width="13.5703125" customWidth="1"/>
    <col min="517" max="517" width="3.42578125" bestFit="1" customWidth="1"/>
    <col min="518" max="518" width="18" customWidth="1"/>
    <col min="521" max="521" width="13.140625" customWidth="1"/>
    <col min="525" max="525" width="12" customWidth="1"/>
    <col min="532" max="532" width="13.42578125" customWidth="1"/>
    <col min="533" max="533" width="13.140625" customWidth="1"/>
    <col min="534" max="534" width="14" customWidth="1"/>
    <col min="542" max="542" width="13.7109375" customWidth="1"/>
    <col min="546" max="546" width="13.5703125" customWidth="1"/>
    <col min="773" max="773" width="3.42578125" bestFit="1" customWidth="1"/>
    <col min="774" max="774" width="18" customWidth="1"/>
    <col min="777" max="777" width="13.140625" customWidth="1"/>
    <col min="781" max="781" width="12" customWidth="1"/>
    <col min="788" max="788" width="13.42578125" customWidth="1"/>
    <col min="789" max="789" width="13.140625" customWidth="1"/>
    <col min="790" max="790" width="14" customWidth="1"/>
    <col min="798" max="798" width="13.7109375" customWidth="1"/>
    <col min="802" max="802" width="13.5703125" customWidth="1"/>
    <col min="1029" max="1029" width="3.42578125" bestFit="1" customWidth="1"/>
    <col min="1030" max="1030" width="18" customWidth="1"/>
    <col min="1033" max="1033" width="13.140625" customWidth="1"/>
    <col min="1037" max="1037" width="12" customWidth="1"/>
    <col min="1044" max="1044" width="13.42578125" customWidth="1"/>
    <col min="1045" max="1045" width="13.140625" customWidth="1"/>
    <col min="1046" max="1046" width="14" customWidth="1"/>
    <col min="1054" max="1054" width="13.7109375" customWidth="1"/>
    <col min="1058" max="1058" width="13.5703125" customWidth="1"/>
    <col min="1285" max="1285" width="3.42578125" bestFit="1" customWidth="1"/>
    <col min="1286" max="1286" width="18" customWidth="1"/>
    <col min="1289" max="1289" width="13.140625" customWidth="1"/>
    <col min="1293" max="1293" width="12" customWidth="1"/>
    <col min="1300" max="1300" width="13.42578125" customWidth="1"/>
    <col min="1301" max="1301" width="13.140625" customWidth="1"/>
    <col min="1302" max="1302" width="14" customWidth="1"/>
    <col min="1310" max="1310" width="13.7109375" customWidth="1"/>
    <col min="1314" max="1314" width="13.5703125" customWidth="1"/>
    <col min="1541" max="1541" width="3.42578125" bestFit="1" customWidth="1"/>
    <col min="1542" max="1542" width="18" customWidth="1"/>
    <col min="1545" max="1545" width="13.140625" customWidth="1"/>
    <col min="1549" max="1549" width="12" customWidth="1"/>
    <col min="1556" max="1556" width="13.42578125" customWidth="1"/>
    <col min="1557" max="1557" width="13.140625" customWidth="1"/>
    <col min="1558" max="1558" width="14" customWidth="1"/>
    <col min="1566" max="1566" width="13.7109375" customWidth="1"/>
    <col min="1570" max="1570" width="13.5703125" customWidth="1"/>
    <col min="1797" max="1797" width="3.42578125" bestFit="1" customWidth="1"/>
    <col min="1798" max="1798" width="18" customWidth="1"/>
    <col min="1801" max="1801" width="13.140625" customWidth="1"/>
    <col min="1805" max="1805" width="12" customWidth="1"/>
    <col min="1812" max="1812" width="13.42578125" customWidth="1"/>
    <col min="1813" max="1813" width="13.140625" customWidth="1"/>
    <col min="1814" max="1814" width="14" customWidth="1"/>
    <col min="1822" max="1822" width="13.7109375" customWidth="1"/>
    <col min="1826" max="1826" width="13.5703125" customWidth="1"/>
    <col min="2053" max="2053" width="3.42578125" bestFit="1" customWidth="1"/>
    <col min="2054" max="2054" width="18" customWidth="1"/>
    <col min="2057" max="2057" width="13.140625" customWidth="1"/>
    <col min="2061" max="2061" width="12" customWidth="1"/>
    <col min="2068" max="2068" width="13.42578125" customWidth="1"/>
    <col min="2069" max="2069" width="13.140625" customWidth="1"/>
    <col min="2070" max="2070" width="14" customWidth="1"/>
    <col min="2078" max="2078" width="13.7109375" customWidth="1"/>
    <col min="2082" max="2082" width="13.5703125" customWidth="1"/>
    <col min="2309" max="2309" width="3.42578125" bestFit="1" customWidth="1"/>
    <col min="2310" max="2310" width="18" customWidth="1"/>
    <col min="2313" max="2313" width="13.140625" customWidth="1"/>
    <col min="2317" max="2317" width="12" customWidth="1"/>
    <col min="2324" max="2324" width="13.42578125" customWidth="1"/>
    <col min="2325" max="2325" width="13.140625" customWidth="1"/>
    <col min="2326" max="2326" width="14" customWidth="1"/>
    <col min="2334" max="2334" width="13.7109375" customWidth="1"/>
    <col min="2338" max="2338" width="13.5703125" customWidth="1"/>
    <col min="2565" max="2565" width="3.42578125" bestFit="1" customWidth="1"/>
    <col min="2566" max="2566" width="18" customWidth="1"/>
    <col min="2569" max="2569" width="13.140625" customWidth="1"/>
    <col min="2573" max="2573" width="12" customWidth="1"/>
    <col min="2580" max="2580" width="13.42578125" customWidth="1"/>
    <col min="2581" max="2581" width="13.140625" customWidth="1"/>
    <col min="2582" max="2582" width="14" customWidth="1"/>
    <col min="2590" max="2590" width="13.7109375" customWidth="1"/>
    <col min="2594" max="2594" width="13.5703125" customWidth="1"/>
    <col min="2821" max="2821" width="3.42578125" bestFit="1" customWidth="1"/>
    <col min="2822" max="2822" width="18" customWidth="1"/>
    <col min="2825" max="2825" width="13.140625" customWidth="1"/>
    <col min="2829" max="2829" width="12" customWidth="1"/>
    <col min="2836" max="2836" width="13.42578125" customWidth="1"/>
    <col min="2837" max="2837" width="13.140625" customWidth="1"/>
    <col min="2838" max="2838" width="14" customWidth="1"/>
    <col min="2846" max="2846" width="13.7109375" customWidth="1"/>
    <col min="2850" max="2850" width="13.5703125" customWidth="1"/>
    <col min="3077" max="3077" width="3.42578125" bestFit="1" customWidth="1"/>
    <col min="3078" max="3078" width="18" customWidth="1"/>
    <col min="3081" max="3081" width="13.140625" customWidth="1"/>
    <col min="3085" max="3085" width="12" customWidth="1"/>
    <col min="3092" max="3092" width="13.42578125" customWidth="1"/>
    <col min="3093" max="3093" width="13.140625" customWidth="1"/>
    <col min="3094" max="3094" width="14" customWidth="1"/>
    <col min="3102" max="3102" width="13.7109375" customWidth="1"/>
    <col min="3106" max="3106" width="13.5703125" customWidth="1"/>
    <col min="3333" max="3333" width="3.42578125" bestFit="1" customWidth="1"/>
    <col min="3334" max="3334" width="18" customWidth="1"/>
    <col min="3337" max="3337" width="13.140625" customWidth="1"/>
    <col min="3341" max="3341" width="12" customWidth="1"/>
    <col min="3348" max="3348" width="13.42578125" customWidth="1"/>
    <col min="3349" max="3349" width="13.140625" customWidth="1"/>
    <col min="3350" max="3350" width="14" customWidth="1"/>
    <col min="3358" max="3358" width="13.7109375" customWidth="1"/>
    <col min="3362" max="3362" width="13.5703125" customWidth="1"/>
    <col min="3589" max="3589" width="3.42578125" bestFit="1" customWidth="1"/>
    <col min="3590" max="3590" width="18" customWidth="1"/>
    <col min="3593" max="3593" width="13.140625" customWidth="1"/>
    <col min="3597" max="3597" width="12" customWidth="1"/>
    <col min="3604" max="3604" width="13.42578125" customWidth="1"/>
    <col min="3605" max="3605" width="13.140625" customWidth="1"/>
    <col min="3606" max="3606" width="14" customWidth="1"/>
    <col min="3614" max="3614" width="13.7109375" customWidth="1"/>
    <col min="3618" max="3618" width="13.5703125" customWidth="1"/>
    <col min="3845" max="3845" width="3.42578125" bestFit="1" customWidth="1"/>
    <col min="3846" max="3846" width="18" customWidth="1"/>
    <col min="3849" max="3849" width="13.140625" customWidth="1"/>
    <col min="3853" max="3853" width="12" customWidth="1"/>
    <col min="3860" max="3860" width="13.42578125" customWidth="1"/>
    <col min="3861" max="3861" width="13.140625" customWidth="1"/>
    <col min="3862" max="3862" width="14" customWidth="1"/>
    <col min="3870" max="3870" width="13.7109375" customWidth="1"/>
    <col min="3874" max="3874" width="13.5703125" customWidth="1"/>
    <col min="4101" max="4101" width="3.42578125" bestFit="1" customWidth="1"/>
    <col min="4102" max="4102" width="18" customWidth="1"/>
    <col min="4105" max="4105" width="13.140625" customWidth="1"/>
    <col min="4109" max="4109" width="12" customWidth="1"/>
    <col min="4116" max="4116" width="13.42578125" customWidth="1"/>
    <col min="4117" max="4117" width="13.140625" customWidth="1"/>
    <col min="4118" max="4118" width="14" customWidth="1"/>
    <col min="4126" max="4126" width="13.7109375" customWidth="1"/>
    <col min="4130" max="4130" width="13.5703125" customWidth="1"/>
    <col min="4357" max="4357" width="3.42578125" bestFit="1" customWidth="1"/>
    <col min="4358" max="4358" width="18" customWidth="1"/>
    <col min="4361" max="4361" width="13.140625" customWidth="1"/>
    <col min="4365" max="4365" width="12" customWidth="1"/>
    <col min="4372" max="4372" width="13.42578125" customWidth="1"/>
    <col min="4373" max="4373" width="13.140625" customWidth="1"/>
    <col min="4374" max="4374" width="14" customWidth="1"/>
    <col min="4382" max="4382" width="13.7109375" customWidth="1"/>
    <col min="4386" max="4386" width="13.5703125" customWidth="1"/>
    <col min="4613" max="4613" width="3.42578125" bestFit="1" customWidth="1"/>
    <col min="4614" max="4614" width="18" customWidth="1"/>
    <col min="4617" max="4617" width="13.140625" customWidth="1"/>
    <col min="4621" max="4621" width="12" customWidth="1"/>
    <col min="4628" max="4628" width="13.42578125" customWidth="1"/>
    <col min="4629" max="4629" width="13.140625" customWidth="1"/>
    <col min="4630" max="4630" width="14" customWidth="1"/>
    <col min="4638" max="4638" width="13.7109375" customWidth="1"/>
    <col min="4642" max="4642" width="13.5703125" customWidth="1"/>
    <col min="4869" max="4869" width="3.42578125" bestFit="1" customWidth="1"/>
    <col min="4870" max="4870" width="18" customWidth="1"/>
    <col min="4873" max="4873" width="13.140625" customWidth="1"/>
    <col min="4877" max="4877" width="12" customWidth="1"/>
    <col min="4884" max="4884" width="13.42578125" customWidth="1"/>
    <col min="4885" max="4885" width="13.140625" customWidth="1"/>
    <col min="4886" max="4886" width="14" customWidth="1"/>
    <col min="4894" max="4894" width="13.7109375" customWidth="1"/>
    <col min="4898" max="4898" width="13.5703125" customWidth="1"/>
    <col min="5125" max="5125" width="3.42578125" bestFit="1" customWidth="1"/>
    <col min="5126" max="5126" width="18" customWidth="1"/>
    <col min="5129" max="5129" width="13.140625" customWidth="1"/>
    <col min="5133" max="5133" width="12" customWidth="1"/>
    <col min="5140" max="5140" width="13.42578125" customWidth="1"/>
    <col min="5141" max="5141" width="13.140625" customWidth="1"/>
    <col min="5142" max="5142" width="14" customWidth="1"/>
    <col min="5150" max="5150" width="13.7109375" customWidth="1"/>
    <col min="5154" max="5154" width="13.5703125" customWidth="1"/>
    <col min="5381" max="5381" width="3.42578125" bestFit="1" customWidth="1"/>
    <col min="5382" max="5382" width="18" customWidth="1"/>
    <col min="5385" max="5385" width="13.140625" customWidth="1"/>
    <col min="5389" max="5389" width="12" customWidth="1"/>
    <col min="5396" max="5396" width="13.42578125" customWidth="1"/>
    <col min="5397" max="5397" width="13.140625" customWidth="1"/>
    <col min="5398" max="5398" width="14" customWidth="1"/>
    <col min="5406" max="5406" width="13.7109375" customWidth="1"/>
    <col min="5410" max="5410" width="13.5703125" customWidth="1"/>
    <col min="5637" max="5637" width="3.42578125" bestFit="1" customWidth="1"/>
    <col min="5638" max="5638" width="18" customWidth="1"/>
    <col min="5641" max="5641" width="13.140625" customWidth="1"/>
    <col min="5645" max="5645" width="12" customWidth="1"/>
    <col min="5652" max="5652" width="13.42578125" customWidth="1"/>
    <col min="5653" max="5653" width="13.140625" customWidth="1"/>
    <col min="5654" max="5654" width="14" customWidth="1"/>
    <col min="5662" max="5662" width="13.7109375" customWidth="1"/>
    <col min="5666" max="5666" width="13.5703125" customWidth="1"/>
    <col min="5893" max="5893" width="3.42578125" bestFit="1" customWidth="1"/>
    <col min="5894" max="5894" width="18" customWidth="1"/>
    <col min="5897" max="5897" width="13.140625" customWidth="1"/>
    <col min="5901" max="5901" width="12" customWidth="1"/>
    <col min="5908" max="5908" width="13.42578125" customWidth="1"/>
    <col min="5909" max="5909" width="13.140625" customWidth="1"/>
    <col min="5910" max="5910" width="14" customWidth="1"/>
    <col min="5918" max="5918" width="13.7109375" customWidth="1"/>
    <col min="5922" max="5922" width="13.5703125" customWidth="1"/>
    <col min="6149" max="6149" width="3.42578125" bestFit="1" customWidth="1"/>
    <col min="6150" max="6150" width="18" customWidth="1"/>
    <col min="6153" max="6153" width="13.140625" customWidth="1"/>
    <col min="6157" max="6157" width="12" customWidth="1"/>
    <col min="6164" max="6164" width="13.42578125" customWidth="1"/>
    <col min="6165" max="6165" width="13.140625" customWidth="1"/>
    <col min="6166" max="6166" width="14" customWidth="1"/>
    <col min="6174" max="6174" width="13.7109375" customWidth="1"/>
    <col min="6178" max="6178" width="13.5703125" customWidth="1"/>
    <col min="6405" max="6405" width="3.42578125" bestFit="1" customWidth="1"/>
    <col min="6406" max="6406" width="18" customWidth="1"/>
    <col min="6409" max="6409" width="13.140625" customWidth="1"/>
    <col min="6413" max="6413" width="12" customWidth="1"/>
    <col min="6420" max="6420" width="13.42578125" customWidth="1"/>
    <col min="6421" max="6421" width="13.140625" customWidth="1"/>
    <col min="6422" max="6422" width="14" customWidth="1"/>
    <col min="6430" max="6430" width="13.7109375" customWidth="1"/>
    <col min="6434" max="6434" width="13.5703125" customWidth="1"/>
    <col min="6661" max="6661" width="3.42578125" bestFit="1" customWidth="1"/>
    <col min="6662" max="6662" width="18" customWidth="1"/>
    <col min="6665" max="6665" width="13.140625" customWidth="1"/>
    <col min="6669" max="6669" width="12" customWidth="1"/>
    <col min="6676" max="6676" width="13.42578125" customWidth="1"/>
    <col min="6677" max="6677" width="13.140625" customWidth="1"/>
    <col min="6678" max="6678" width="14" customWidth="1"/>
    <col min="6686" max="6686" width="13.7109375" customWidth="1"/>
    <col min="6690" max="6690" width="13.5703125" customWidth="1"/>
    <col min="6917" max="6917" width="3.42578125" bestFit="1" customWidth="1"/>
    <col min="6918" max="6918" width="18" customWidth="1"/>
    <col min="6921" max="6921" width="13.140625" customWidth="1"/>
    <col min="6925" max="6925" width="12" customWidth="1"/>
    <col min="6932" max="6932" width="13.42578125" customWidth="1"/>
    <col min="6933" max="6933" width="13.140625" customWidth="1"/>
    <col min="6934" max="6934" width="14" customWidth="1"/>
    <col min="6942" max="6942" width="13.7109375" customWidth="1"/>
    <col min="6946" max="6946" width="13.5703125" customWidth="1"/>
    <col min="7173" max="7173" width="3.42578125" bestFit="1" customWidth="1"/>
    <col min="7174" max="7174" width="18" customWidth="1"/>
    <col min="7177" max="7177" width="13.140625" customWidth="1"/>
    <col min="7181" max="7181" width="12" customWidth="1"/>
    <col min="7188" max="7188" width="13.42578125" customWidth="1"/>
    <col min="7189" max="7189" width="13.140625" customWidth="1"/>
    <col min="7190" max="7190" width="14" customWidth="1"/>
    <col min="7198" max="7198" width="13.7109375" customWidth="1"/>
    <col min="7202" max="7202" width="13.5703125" customWidth="1"/>
    <col min="7429" max="7429" width="3.42578125" bestFit="1" customWidth="1"/>
    <col min="7430" max="7430" width="18" customWidth="1"/>
    <col min="7433" max="7433" width="13.140625" customWidth="1"/>
    <col min="7437" max="7437" width="12" customWidth="1"/>
    <col min="7444" max="7444" width="13.42578125" customWidth="1"/>
    <col min="7445" max="7445" width="13.140625" customWidth="1"/>
    <col min="7446" max="7446" width="14" customWidth="1"/>
    <col min="7454" max="7454" width="13.7109375" customWidth="1"/>
    <col min="7458" max="7458" width="13.5703125" customWidth="1"/>
    <col min="7685" max="7685" width="3.42578125" bestFit="1" customWidth="1"/>
    <col min="7686" max="7686" width="18" customWidth="1"/>
    <col min="7689" max="7689" width="13.140625" customWidth="1"/>
    <col min="7693" max="7693" width="12" customWidth="1"/>
    <col min="7700" max="7700" width="13.42578125" customWidth="1"/>
    <col min="7701" max="7701" width="13.140625" customWidth="1"/>
    <col min="7702" max="7702" width="14" customWidth="1"/>
    <col min="7710" max="7710" width="13.7109375" customWidth="1"/>
    <col min="7714" max="7714" width="13.5703125" customWidth="1"/>
    <col min="7941" max="7941" width="3.42578125" bestFit="1" customWidth="1"/>
    <col min="7942" max="7942" width="18" customWidth="1"/>
    <col min="7945" max="7945" width="13.140625" customWidth="1"/>
    <col min="7949" max="7949" width="12" customWidth="1"/>
    <col min="7956" max="7956" width="13.42578125" customWidth="1"/>
    <col min="7957" max="7957" width="13.140625" customWidth="1"/>
    <col min="7958" max="7958" width="14" customWidth="1"/>
    <col min="7966" max="7966" width="13.7109375" customWidth="1"/>
    <col min="7970" max="7970" width="13.5703125" customWidth="1"/>
    <col min="8197" max="8197" width="3.42578125" bestFit="1" customWidth="1"/>
    <col min="8198" max="8198" width="18" customWidth="1"/>
    <col min="8201" max="8201" width="13.140625" customWidth="1"/>
    <col min="8205" max="8205" width="12" customWidth="1"/>
    <col min="8212" max="8212" width="13.42578125" customWidth="1"/>
    <col min="8213" max="8213" width="13.140625" customWidth="1"/>
    <col min="8214" max="8214" width="14" customWidth="1"/>
    <col min="8222" max="8222" width="13.7109375" customWidth="1"/>
    <col min="8226" max="8226" width="13.5703125" customWidth="1"/>
    <col min="8453" max="8453" width="3.42578125" bestFit="1" customWidth="1"/>
    <col min="8454" max="8454" width="18" customWidth="1"/>
    <col min="8457" max="8457" width="13.140625" customWidth="1"/>
    <col min="8461" max="8461" width="12" customWidth="1"/>
    <col min="8468" max="8468" width="13.42578125" customWidth="1"/>
    <col min="8469" max="8469" width="13.140625" customWidth="1"/>
    <col min="8470" max="8470" width="14" customWidth="1"/>
    <col min="8478" max="8478" width="13.7109375" customWidth="1"/>
    <col min="8482" max="8482" width="13.5703125" customWidth="1"/>
    <col min="8709" max="8709" width="3.42578125" bestFit="1" customWidth="1"/>
    <col min="8710" max="8710" width="18" customWidth="1"/>
    <col min="8713" max="8713" width="13.140625" customWidth="1"/>
    <col min="8717" max="8717" width="12" customWidth="1"/>
    <col min="8724" max="8724" width="13.42578125" customWidth="1"/>
    <col min="8725" max="8725" width="13.140625" customWidth="1"/>
    <col min="8726" max="8726" width="14" customWidth="1"/>
    <col min="8734" max="8734" width="13.7109375" customWidth="1"/>
    <col min="8738" max="8738" width="13.5703125" customWidth="1"/>
    <col min="8965" max="8965" width="3.42578125" bestFit="1" customWidth="1"/>
    <col min="8966" max="8966" width="18" customWidth="1"/>
    <col min="8969" max="8969" width="13.140625" customWidth="1"/>
    <col min="8973" max="8973" width="12" customWidth="1"/>
    <col min="8980" max="8980" width="13.42578125" customWidth="1"/>
    <col min="8981" max="8981" width="13.140625" customWidth="1"/>
    <col min="8982" max="8982" width="14" customWidth="1"/>
    <col min="8990" max="8990" width="13.7109375" customWidth="1"/>
    <col min="8994" max="8994" width="13.5703125" customWidth="1"/>
    <col min="9221" max="9221" width="3.42578125" bestFit="1" customWidth="1"/>
    <col min="9222" max="9222" width="18" customWidth="1"/>
    <col min="9225" max="9225" width="13.140625" customWidth="1"/>
    <col min="9229" max="9229" width="12" customWidth="1"/>
    <col min="9236" max="9236" width="13.42578125" customWidth="1"/>
    <col min="9237" max="9237" width="13.140625" customWidth="1"/>
    <col min="9238" max="9238" width="14" customWidth="1"/>
    <col min="9246" max="9246" width="13.7109375" customWidth="1"/>
    <col min="9250" max="9250" width="13.5703125" customWidth="1"/>
    <col min="9477" max="9477" width="3.42578125" bestFit="1" customWidth="1"/>
    <col min="9478" max="9478" width="18" customWidth="1"/>
    <col min="9481" max="9481" width="13.140625" customWidth="1"/>
    <col min="9485" max="9485" width="12" customWidth="1"/>
    <col min="9492" max="9492" width="13.42578125" customWidth="1"/>
    <col min="9493" max="9493" width="13.140625" customWidth="1"/>
    <col min="9494" max="9494" width="14" customWidth="1"/>
    <col min="9502" max="9502" width="13.7109375" customWidth="1"/>
    <col min="9506" max="9506" width="13.5703125" customWidth="1"/>
    <col min="9733" max="9733" width="3.42578125" bestFit="1" customWidth="1"/>
    <col min="9734" max="9734" width="18" customWidth="1"/>
    <col min="9737" max="9737" width="13.140625" customWidth="1"/>
    <col min="9741" max="9741" width="12" customWidth="1"/>
    <col min="9748" max="9748" width="13.42578125" customWidth="1"/>
    <col min="9749" max="9749" width="13.140625" customWidth="1"/>
    <col min="9750" max="9750" width="14" customWidth="1"/>
    <col min="9758" max="9758" width="13.7109375" customWidth="1"/>
    <col min="9762" max="9762" width="13.5703125" customWidth="1"/>
    <col min="9989" max="9989" width="3.42578125" bestFit="1" customWidth="1"/>
    <col min="9990" max="9990" width="18" customWidth="1"/>
    <col min="9993" max="9993" width="13.140625" customWidth="1"/>
    <col min="9997" max="9997" width="12" customWidth="1"/>
    <col min="10004" max="10004" width="13.42578125" customWidth="1"/>
    <col min="10005" max="10005" width="13.140625" customWidth="1"/>
    <col min="10006" max="10006" width="14" customWidth="1"/>
    <col min="10014" max="10014" width="13.7109375" customWidth="1"/>
    <col min="10018" max="10018" width="13.5703125" customWidth="1"/>
    <col min="10245" max="10245" width="3.42578125" bestFit="1" customWidth="1"/>
    <col min="10246" max="10246" width="18" customWidth="1"/>
    <col min="10249" max="10249" width="13.140625" customWidth="1"/>
    <col min="10253" max="10253" width="12" customWidth="1"/>
    <col min="10260" max="10260" width="13.42578125" customWidth="1"/>
    <col min="10261" max="10261" width="13.140625" customWidth="1"/>
    <col min="10262" max="10262" width="14" customWidth="1"/>
    <col min="10270" max="10270" width="13.7109375" customWidth="1"/>
    <col min="10274" max="10274" width="13.5703125" customWidth="1"/>
    <col min="10501" max="10501" width="3.42578125" bestFit="1" customWidth="1"/>
    <col min="10502" max="10502" width="18" customWidth="1"/>
    <col min="10505" max="10505" width="13.140625" customWidth="1"/>
    <col min="10509" max="10509" width="12" customWidth="1"/>
    <col min="10516" max="10516" width="13.42578125" customWidth="1"/>
    <col min="10517" max="10517" width="13.140625" customWidth="1"/>
    <col min="10518" max="10518" width="14" customWidth="1"/>
    <col min="10526" max="10526" width="13.7109375" customWidth="1"/>
    <col min="10530" max="10530" width="13.5703125" customWidth="1"/>
    <col min="10757" max="10757" width="3.42578125" bestFit="1" customWidth="1"/>
    <col min="10758" max="10758" width="18" customWidth="1"/>
    <col min="10761" max="10761" width="13.140625" customWidth="1"/>
    <col min="10765" max="10765" width="12" customWidth="1"/>
    <col min="10772" max="10772" width="13.42578125" customWidth="1"/>
    <col min="10773" max="10773" width="13.140625" customWidth="1"/>
    <col min="10774" max="10774" width="14" customWidth="1"/>
    <col min="10782" max="10782" width="13.7109375" customWidth="1"/>
    <col min="10786" max="10786" width="13.5703125" customWidth="1"/>
    <col min="11013" max="11013" width="3.42578125" bestFit="1" customWidth="1"/>
    <col min="11014" max="11014" width="18" customWidth="1"/>
    <col min="11017" max="11017" width="13.140625" customWidth="1"/>
    <col min="11021" max="11021" width="12" customWidth="1"/>
    <col min="11028" max="11028" width="13.42578125" customWidth="1"/>
    <col min="11029" max="11029" width="13.140625" customWidth="1"/>
    <col min="11030" max="11030" width="14" customWidth="1"/>
    <col min="11038" max="11038" width="13.7109375" customWidth="1"/>
    <col min="11042" max="11042" width="13.5703125" customWidth="1"/>
    <col min="11269" max="11269" width="3.42578125" bestFit="1" customWidth="1"/>
    <col min="11270" max="11270" width="18" customWidth="1"/>
    <col min="11273" max="11273" width="13.140625" customWidth="1"/>
    <col min="11277" max="11277" width="12" customWidth="1"/>
    <col min="11284" max="11284" width="13.42578125" customWidth="1"/>
    <col min="11285" max="11285" width="13.140625" customWidth="1"/>
    <col min="11286" max="11286" width="14" customWidth="1"/>
    <col min="11294" max="11294" width="13.7109375" customWidth="1"/>
    <col min="11298" max="11298" width="13.5703125" customWidth="1"/>
    <col min="11525" max="11525" width="3.42578125" bestFit="1" customWidth="1"/>
    <col min="11526" max="11526" width="18" customWidth="1"/>
    <col min="11529" max="11529" width="13.140625" customWidth="1"/>
    <col min="11533" max="11533" width="12" customWidth="1"/>
    <col min="11540" max="11540" width="13.42578125" customWidth="1"/>
    <col min="11541" max="11541" width="13.140625" customWidth="1"/>
    <col min="11542" max="11542" width="14" customWidth="1"/>
    <col min="11550" max="11550" width="13.7109375" customWidth="1"/>
    <col min="11554" max="11554" width="13.5703125" customWidth="1"/>
    <col min="11781" max="11781" width="3.42578125" bestFit="1" customWidth="1"/>
    <col min="11782" max="11782" width="18" customWidth="1"/>
    <col min="11785" max="11785" width="13.140625" customWidth="1"/>
    <col min="11789" max="11789" width="12" customWidth="1"/>
    <col min="11796" max="11796" width="13.42578125" customWidth="1"/>
    <col min="11797" max="11797" width="13.140625" customWidth="1"/>
    <col min="11798" max="11798" width="14" customWidth="1"/>
    <col min="11806" max="11806" width="13.7109375" customWidth="1"/>
    <col min="11810" max="11810" width="13.5703125" customWidth="1"/>
    <col min="12037" max="12037" width="3.42578125" bestFit="1" customWidth="1"/>
    <col min="12038" max="12038" width="18" customWidth="1"/>
    <col min="12041" max="12041" width="13.140625" customWidth="1"/>
    <col min="12045" max="12045" width="12" customWidth="1"/>
    <col min="12052" max="12052" width="13.42578125" customWidth="1"/>
    <col min="12053" max="12053" width="13.140625" customWidth="1"/>
    <col min="12054" max="12054" width="14" customWidth="1"/>
    <col min="12062" max="12062" width="13.7109375" customWidth="1"/>
    <col min="12066" max="12066" width="13.5703125" customWidth="1"/>
    <col min="12293" max="12293" width="3.42578125" bestFit="1" customWidth="1"/>
    <col min="12294" max="12294" width="18" customWidth="1"/>
    <col min="12297" max="12297" width="13.140625" customWidth="1"/>
    <col min="12301" max="12301" width="12" customWidth="1"/>
    <col min="12308" max="12308" width="13.42578125" customWidth="1"/>
    <col min="12309" max="12309" width="13.140625" customWidth="1"/>
    <col min="12310" max="12310" width="14" customWidth="1"/>
    <col min="12318" max="12318" width="13.7109375" customWidth="1"/>
    <col min="12322" max="12322" width="13.5703125" customWidth="1"/>
    <col min="12549" max="12549" width="3.42578125" bestFit="1" customWidth="1"/>
    <col min="12550" max="12550" width="18" customWidth="1"/>
    <col min="12553" max="12553" width="13.140625" customWidth="1"/>
    <col min="12557" max="12557" width="12" customWidth="1"/>
    <col min="12564" max="12564" width="13.42578125" customWidth="1"/>
    <col min="12565" max="12565" width="13.140625" customWidth="1"/>
    <col min="12566" max="12566" width="14" customWidth="1"/>
    <col min="12574" max="12574" width="13.7109375" customWidth="1"/>
    <col min="12578" max="12578" width="13.5703125" customWidth="1"/>
    <col min="12805" max="12805" width="3.42578125" bestFit="1" customWidth="1"/>
    <col min="12806" max="12806" width="18" customWidth="1"/>
    <col min="12809" max="12809" width="13.140625" customWidth="1"/>
    <col min="12813" max="12813" width="12" customWidth="1"/>
    <col min="12820" max="12820" width="13.42578125" customWidth="1"/>
    <col min="12821" max="12821" width="13.140625" customWidth="1"/>
    <col min="12822" max="12822" width="14" customWidth="1"/>
    <col min="12830" max="12830" width="13.7109375" customWidth="1"/>
    <col min="12834" max="12834" width="13.5703125" customWidth="1"/>
    <col min="13061" max="13061" width="3.42578125" bestFit="1" customWidth="1"/>
    <col min="13062" max="13062" width="18" customWidth="1"/>
    <col min="13065" max="13065" width="13.140625" customWidth="1"/>
    <col min="13069" max="13069" width="12" customWidth="1"/>
    <col min="13076" max="13076" width="13.42578125" customWidth="1"/>
    <col min="13077" max="13077" width="13.140625" customWidth="1"/>
    <col min="13078" max="13078" width="14" customWidth="1"/>
    <col min="13086" max="13086" width="13.7109375" customWidth="1"/>
    <col min="13090" max="13090" width="13.5703125" customWidth="1"/>
    <col min="13317" max="13317" width="3.42578125" bestFit="1" customWidth="1"/>
    <col min="13318" max="13318" width="18" customWidth="1"/>
    <col min="13321" max="13321" width="13.140625" customWidth="1"/>
    <col min="13325" max="13325" width="12" customWidth="1"/>
    <col min="13332" max="13332" width="13.42578125" customWidth="1"/>
    <col min="13333" max="13333" width="13.140625" customWidth="1"/>
    <col min="13334" max="13334" width="14" customWidth="1"/>
    <col min="13342" max="13342" width="13.7109375" customWidth="1"/>
    <col min="13346" max="13346" width="13.5703125" customWidth="1"/>
    <col min="13573" max="13573" width="3.42578125" bestFit="1" customWidth="1"/>
    <col min="13574" max="13574" width="18" customWidth="1"/>
    <col min="13577" max="13577" width="13.140625" customWidth="1"/>
    <col min="13581" max="13581" width="12" customWidth="1"/>
    <col min="13588" max="13588" width="13.42578125" customWidth="1"/>
    <col min="13589" max="13589" width="13.140625" customWidth="1"/>
    <col min="13590" max="13590" width="14" customWidth="1"/>
    <col min="13598" max="13598" width="13.7109375" customWidth="1"/>
    <col min="13602" max="13602" width="13.5703125" customWidth="1"/>
    <col min="13829" max="13829" width="3.42578125" bestFit="1" customWidth="1"/>
    <col min="13830" max="13830" width="18" customWidth="1"/>
    <col min="13833" max="13833" width="13.140625" customWidth="1"/>
    <col min="13837" max="13837" width="12" customWidth="1"/>
    <col min="13844" max="13844" width="13.42578125" customWidth="1"/>
    <col min="13845" max="13845" width="13.140625" customWidth="1"/>
    <col min="13846" max="13846" width="14" customWidth="1"/>
    <col min="13854" max="13854" width="13.7109375" customWidth="1"/>
    <col min="13858" max="13858" width="13.5703125" customWidth="1"/>
    <col min="14085" max="14085" width="3.42578125" bestFit="1" customWidth="1"/>
    <col min="14086" max="14086" width="18" customWidth="1"/>
    <col min="14089" max="14089" width="13.140625" customWidth="1"/>
    <col min="14093" max="14093" width="12" customWidth="1"/>
    <col min="14100" max="14100" width="13.42578125" customWidth="1"/>
    <col min="14101" max="14101" width="13.140625" customWidth="1"/>
    <col min="14102" max="14102" width="14" customWidth="1"/>
    <col min="14110" max="14110" width="13.7109375" customWidth="1"/>
    <col min="14114" max="14114" width="13.5703125" customWidth="1"/>
    <col min="14341" max="14341" width="3.42578125" bestFit="1" customWidth="1"/>
    <col min="14342" max="14342" width="18" customWidth="1"/>
    <col min="14345" max="14345" width="13.140625" customWidth="1"/>
    <col min="14349" max="14349" width="12" customWidth="1"/>
    <col min="14356" max="14356" width="13.42578125" customWidth="1"/>
    <col min="14357" max="14357" width="13.140625" customWidth="1"/>
    <col min="14358" max="14358" width="14" customWidth="1"/>
    <col min="14366" max="14366" width="13.7109375" customWidth="1"/>
    <col min="14370" max="14370" width="13.5703125" customWidth="1"/>
    <col min="14597" max="14597" width="3.42578125" bestFit="1" customWidth="1"/>
    <col min="14598" max="14598" width="18" customWidth="1"/>
    <col min="14601" max="14601" width="13.140625" customWidth="1"/>
    <col min="14605" max="14605" width="12" customWidth="1"/>
    <col min="14612" max="14612" width="13.42578125" customWidth="1"/>
    <col min="14613" max="14613" width="13.140625" customWidth="1"/>
    <col min="14614" max="14614" width="14" customWidth="1"/>
    <col min="14622" max="14622" width="13.7109375" customWidth="1"/>
    <col min="14626" max="14626" width="13.5703125" customWidth="1"/>
    <col min="14853" max="14853" width="3.42578125" bestFit="1" customWidth="1"/>
    <col min="14854" max="14854" width="18" customWidth="1"/>
    <col min="14857" max="14857" width="13.140625" customWidth="1"/>
    <col min="14861" max="14861" width="12" customWidth="1"/>
    <col min="14868" max="14868" width="13.42578125" customWidth="1"/>
    <col min="14869" max="14869" width="13.140625" customWidth="1"/>
    <col min="14870" max="14870" width="14" customWidth="1"/>
    <col min="14878" max="14878" width="13.7109375" customWidth="1"/>
    <col min="14882" max="14882" width="13.5703125" customWidth="1"/>
    <col min="15109" max="15109" width="3.42578125" bestFit="1" customWidth="1"/>
    <col min="15110" max="15110" width="18" customWidth="1"/>
    <col min="15113" max="15113" width="13.140625" customWidth="1"/>
    <col min="15117" max="15117" width="12" customWidth="1"/>
    <col min="15124" max="15124" width="13.42578125" customWidth="1"/>
    <col min="15125" max="15125" width="13.140625" customWidth="1"/>
    <col min="15126" max="15126" width="14" customWidth="1"/>
    <col min="15134" max="15134" width="13.7109375" customWidth="1"/>
    <col min="15138" max="15138" width="13.5703125" customWidth="1"/>
    <col min="15365" max="15365" width="3.42578125" bestFit="1" customWidth="1"/>
    <col min="15366" max="15366" width="18" customWidth="1"/>
    <col min="15369" max="15369" width="13.140625" customWidth="1"/>
    <col min="15373" max="15373" width="12" customWidth="1"/>
    <col min="15380" max="15380" width="13.42578125" customWidth="1"/>
    <col min="15381" max="15381" width="13.140625" customWidth="1"/>
    <col min="15382" max="15382" width="14" customWidth="1"/>
    <col min="15390" max="15390" width="13.7109375" customWidth="1"/>
    <col min="15394" max="15394" width="13.5703125" customWidth="1"/>
    <col min="15621" max="15621" width="3.42578125" bestFit="1" customWidth="1"/>
    <col min="15622" max="15622" width="18" customWidth="1"/>
    <col min="15625" max="15625" width="13.140625" customWidth="1"/>
    <col min="15629" max="15629" width="12" customWidth="1"/>
    <col min="15636" max="15636" width="13.42578125" customWidth="1"/>
    <col min="15637" max="15637" width="13.140625" customWidth="1"/>
    <col min="15638" max="15638" width="14" customWidth="1"/>
    <col min="15646" max="15646" width="13.7109375" customWidth="1"/>
    <col min="15650" max="15650" width="13.5703125" customWidth="1"/>
    <col min="15877" max="15877" width="3.42578125" bestFit="1" customWidth="1"/>
    <col min="15878" max="15878" width="18" customWidth="1"/>
    <col min="15881" max="15881" width="13.140625" customWidth="1"/>
    <col min="15885" max="15885" width="12" customWidth="1"/>
    <col min="15892" max="15892" width="13.42578125" customWidth="1"/>
    <col min="15893" max="15893" width="13.140625" customWidth="1"/>
    <col min="15894" max="15894" width="14" customWidth="1"/>
    <col min="15902" max="15902" width="13.7109375" customWidth="1"/>
    <col min="15906" max="15906" width="13.5703125" customWidth="1"/>
    <col min="16133" max="16133" width="3.42578125" bestFit="1" customWidth="1"/>
    <col min="16134" max="16134" width="18" customWidth="1"/>
    <col min="16137" max="16137" width="13.140625" customWidth="1"/>
    <col min="16141" max="16141" width="12" customWidth="1"/>
    <col min="16148" max="16148" width="13.42578125" customWidth="1"/>
    <col min="16149" max="16149" width="13.140625" customWidth="1"/>
    <col min="16150" max="16150" width="14" customWidth="1"/>
    <col min="16158" max="16158" width="13.7109375" customWidth="1"/>
    <col min="16162" max="16162" width="13.5703125" customWidth="1"/>
  </cols>
  <sheetData>
    <row r="1" spans="1:41" ht="15.75" x14ac:dyDescent="0.25">
      <c r="D1" s="1" t="s">
        <v>145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57"/>
      <c r="AF1" s="57"/>
      <c r="AG1" s="57"/>
    </row>
    <row r="3" spans="1:41" s="2" customFormat="1" ht="25.5" x14ac:dyDescent="0.2">
      <c r="D3" s="3" t="s">
        <v>1</v>
      </c>
      <c r="E3" s="4"/>
      <c r="F3" s="5"/>
      <c r="G3" s="6" t="s">
        <v>2</v>
      </c>
      <c r="H3" s="7"/>
      <c r="I3" s="7"/>
      <c r="J3" s="7"/>
      <c r="K3" s="8"/>
      <c r="L3" s="6" t="s">
        <v>3</v>
      </c>
      <c r="M3" s="7"/>
      <c r="N3" s="7"/>
      <c r="O3" s="7"/>
      <c r="P3" s="8"/>
      <c r="Q3" s="6" t="s">
        <v>4</v>
      </c>
      <c r="R3" s="7"/>
      <c r="S3" s="7"/>
      <c r="T3" s="7"/>
      <c r="U3" s="8"/>
      <c r="V3" s="3" t="s">
        <v>5</v>
      </c>
      <c r="W3" s="5"/>
      <c r="X3" s="9" t="s">
        <v>6</v>
      </c>
      <c r="Y3" s="3" t="s">
        <v>7</v>
      </c>
      <c r="Z3" s="4"/>
      <c r="AA3" s="4"/>
      <c r="AB3" s="5"/>
      <c r="AC3" s="10" t="s">
        <v>8</v>
      </c>
      <c r="AD3" s="11" t="s">
        <v>9</v>
      </c>
      <c r="AE3" s="58"/>
      <c r="AF3" s="58"/>
      <c r="AG3" s="58"/>
    </row>
    <row r="4" spans="1:41" s="2" customFormat="1" ht="54" customHeight="1" x14ac:dyDescent="0.2">
      <c r="A4" s="2" t="s">
        <v>11</v>
      </c>
      <c r="B4" s="12" t="s">
        <v>10</v>
      </c>
      <c r="C4" s="13" t="s">
        <v>11</v>
      </c>
      <c r="D4" s="12" t="s">
        <v>12</v>
      </c>
      <c r="E4" s="12" t="s">
        <v>13</v>
      </c>
      <c r="F4" s="14" t="s">
        <v>14</v>
      </c>
      <c r="G4" s="12" t="s">
        <v>15</v>
      </c>
      <c r="H4" s="12" t="s">
        <v>16</v>
      </c>
      <c r="I4" s="12" t="s">
        <v>17</v>
      </c>
      <c r="J4" s="12" t="s">
        <v>18</v>
      </c>
      <c r="K4" s="14" t="s">
        <v>19</v>
      </c>
      <c r="L4" s="12" t="s">
        <v>15</v>
      </c>
      <c r="M4" s="12" t="s">
        <v>16</v>
      </c>
      <c r="N4" s="12" t="s">
        <v>20</v>
      </c>
      <c r="O4" s="12" t="s">
        <v>18</v>
      </c>
      <c r="P4" s="14" t="s">
        <v>21</v>
      </c>
      <c r="Q4" s="12" t="s">
        <v>15</v>
      </c>
      <c r="R4" s="12" t="s">
        <v>16</v>
      </c>
      <c r="S4" s="12" t="s">
        <v>22</v>
      </c>
      <c r="T4" s="12" t="s">
        <v>18</v>
      </c>
      <c r="U4" s="14" t="s">
        <v>146</v>
      </c>
      <c r="V4" s="9" t="s">
        <v>24</v>
      </c>
      <c r="W4" s="9" t="s">
        <v>25</v>
      </c>
      <c r="X4" s="14" t="s">
        <v>26</v>
      </c>
      <c r="Y4" s="17" t="s">
        <v>27</v>
      </c>
      <c r="Z4" s="12" t="s">
        <v>28</v>
      </c>
      <c r="AA4" s="12" t="s">
        <v>29</v>
      </c>
      <c r="AB4" s="9" t="s">
        <v>30</v>
      </c>
      <c r="AC4" s="9" t="s">
        <v>147</v>
      </c>
      <c r="AD4" s="19"/>
      <c r="AE4" s="58"/>
      <c r="AF4" s="58"/>
      <c r="AG4" s="58"/>
    </row>
    <row r="5" spans="1:41" s="2" customFormat="1" ht="13.5" x14ac:dyDescent="0.2">
      <c r="A5" s="2" t="s">
        <v>148</v>
      </c>
      <c r="B5" s="20">
        <v>3</v>
      </c>
      <c r="C5" s="21" t="s">
        <v>34</v>
      </c>
      <c r="D5" s="22">
        <f>VLOOKUP(B5,'[1]Participaciones  Tabla I'!A$5:C$110,3)</f>
        <v>12285</v>
      </c>
      <c r="E5" s="24">
        <f t="shared" ref="E5:E68" si="0">D5/$D$85</f>
        <v>1.0663035072141487E-2</v>
      </c>
      <c r="F5" s="24">
        <f t="shared" ref="F5:F68" si="1">E5*0.64</f>
        <v>6.8243424461705516E-3</v>
      </c>
      <c r="G5" s="25">
        <f>VLOOKUP(C5,'[1]Participaciones  Tabla I'!$B$5:$AC$110,5,FALSE)</f>
        <v>104252.65</v>
      </c>
      <c r="H5" s="25">
        <f>VLOOKUP(C5,'[1]Participaciones  Tabla I'!$B$5:$AC$110,6,FALSE)</f>
        <v>196917.5</v>
      </c>
      <c r="I5" s="25">
        <f t="shared" ref="I5:I68" si="2">G5+H5</f>
        <v>301170.15000000002</v>
      </c>
      <c r="J5" s="26">
        <f t="shared" ref="J5:J68" si="3">I5/$I$85</f>
        <v>2.2867343056162358E-3</v>
      </c>
      <c r="K5" s="26">
        <f t="shared" ref="K5:K68" si="4">J5*0.33</f>
        <v>7.5462232085335781E-4</v>
      </c>
      <c r="L5" s="27">
        <f>VLOOKUP(C5,'[1]Participaciones  Tabla I'!$B$5:$AC$110,10,FALSE)</f>
        <v>67378.81</v>
      </c>
      <c r="M5" s="27">
        <f>VLOOKUP(C5,'[1]Participaciones  Tabla I'!$B$5:$AC$110,11,FALSE)</f>
        <v>37410</v>
      </c>
      <c r="N5" s="25">
        <f t="shared" ref="N5:N68" si="5">L5+M5</f>
        <v>104788.81</v>
      </c>
      <c r="O5" s="28">
        <f t="shared" ref="O5:O68" si="6">N5/$N$85</f>
        <v>8.1263548364617012E-4</v>
      </c>
      <c r="P5" s="29">
        <f t="shared" ref="P5:P68" si="7">O5*0.33</f>
        <v>2.6816970960323616E-4</v>
      </c>
      <c r="Q5" s="27">
        <f>VLOOKUP(C5,'[1]Participaciones  Tabla I'!$B$5:$AC$110,15,FALSE)</f>
        <v>98578.51</v>
      </c>
      <c r="R5" s="27">
        <f>VLOOKUP(C5,'[1]Participaciones  Tabla I'!$B$5:$AC$110,16,FALSE)</f>
        <v>234962.51</v>
      </c>
      <c r="S5" s="25">
        <f t="shared" ref="S5:S68" si="8">Q5+R5</f>
        <v>333541.02</v>
      </c>
      <c r="T5" s="30">
        <f t="shared" ref="T5:T68" si="9">S5/$S$85</f>
        <v>2.0704871513048785E-3</v>
      </c>
      <c r="U5" s="30">
        <f t="shared" ref="U5:U68" si="10">T5*0.34</f>
        <v>7.0396563144365873E-4</v>
      </c>
      <c r="V5" s="30">
        <f t="shared" ref="V5:V68" si="11">K5+P5+U5</f>
        <v>1.7267576619002527E-3</v>
      </c>
      <c r="W5" s="31">
        <f t="shared" ref="W5:W68" si="12">V5*0.045</f>
        <v>7.7704094785511363E-5</v>
      </c>
      <c r="X5" s="30">
        <f>T5*0.02</f>
        <v>4.1409743026097575E-5</v>
      </c>
      <c r="Y5" s="31">
        <f>VLOOKUP(B5,'[1]Participaciones  Tabla I'!$A$5:$X$110,24,FALSE)</f>
        <v>53.822860644154098</v>
      </c>
      <c r="Z5" s="22">
        <f>D5*(9.261-0.1456*Y5)</f>
        <v>17498.64945724413</v>
      </c>
      <c r="AA5" s="33">
        <f t="shared" ref="AA5:AA68" si="13">Z5/$Z$85</f>
        <v>1.1430835228804195E-2</v>
      </c>
      <c r="AB5" s="33">
        <f>AA5*0.025</f>
        <v>2.8577088072010489E-4</v>
      </c>
      <c r="AC5" s="33">
        <f>0.27/80</f>
        <v>3.3750000000000004E-3</v>
      </c>
      <c r="AD5" s="38">
        <f>F5+W5+X5+AB5+AC5</f>
        <v>1.0604227164702267E-2</v>
      </c>
      <c r="AE5" s="59">
        <f>VLOOKUP(B5,[2]coeficientes!$A:$E,5,0)-AD5</f>
        <v>0</v>
      </c>
      <c r="AF5" s="59"/>
      <c r="AG5" s="59"/>
      <c r="AH5" s="2" t="s">
        <v>149</v>
      </c>
      <c r="AI5" s="2" t="s">
        <v>150</v>
      </c>
      <c r="AJ5" s="2">
        <f t="shared" ref="AJ5:AJ68" si="14">Y5</f>
        <v>53.822860644154098</v>
      </c>
      <c r="AK5" s="2" t="s">
        <v>151</v>
      </c>
      <c r="AL5" s="2" t="s">
        <v>152</v>
      </c>
      <c r="AM5" s="60">
        <f t="shared" ref="AM5:AM68" si="15">D5</f>
        <v>12285</v>
      </c>
      <c r="AN5" s="61" t="s">
        <v>153</v>
      </c>
      <c r="AO5" s="2" t="str">
        <f>CONCATENATE(AH5,AI5,AJ5,AK5,AL5,AM5,AN5)</f>
        <v>@((((53.8228606441541+2.44852)*12285/65540751.1074742)))</v>
      </c>
    </row>
    <row r="6" spans="1:41" s="2" customFormat="1" ht="13.5" x14ac:dyDescent="0.2">
      <c r="A6" s="2" t="s">
        <v>154</v>
      </c>
      <c r="B6" s="20">
        <v>5</v>
      </c>
      <c r="C6" s="39" t="s">
        <v>36</v>
      </c>
      <c r="D6" s="22">
        <f>VLOOKUP(B6,'[1]Participaciones  Tabla I'!A$5:C$110,3)</f>
        <v>2167</v>
      </c>
      <c r="E6" s="24">
        <f t="shared" si="0"/>
        <v>1.8808951568034678E-3</v>
      </c>
      <c r="F6" s="24">
        <f t="shared" si="1"/>
        <v>1.2037729003542194E-3</v>
      </c>
      <c r="G6" s="25">
        <f>VLOOKUP(C6,'[1]Participaciones  Tabla I'!$B$5:$AC$110,5,FALSE)</f>
        <v>0</v>
      </c>
      <c r="H6" s="25">
        <f>VLOOKUP(C6,'[1]Participaciones  Tabla I'!$B$5:$AC$110,6,FALSE)</f>
        <v>0</v>
      </c>
      <c r="I6" s="25">
        <f t="shared" si="2"/>
        <v>0</v>
      </c>
      <c r="J6" s="26">
        <f t="shared" si="3"/>
        <v>0</v>
      </c>
      <c r="K6" s="26">
        <f t="shared" si="4"/>
        <v>0</v>
      </c>
      <c r="L6" s="27">
        <f>VLOOKUP(C6,'[1]Participaciones  Tabla I'!$B$5:$AC$110,10,FALSE)</f>
        <v>0</v>
      </c>
      <c r="M6" s="27">
        <f>VLOOKUP(C6,'[1]Participaciones  Tabla I'!$B$5:$AC$110,11,FALSE)</f>
        <v>0</v>
      </c>
      <c r="N6" s="25">
        <f t="shared" si="5"/>
        <v>0</v>
      </c>
      <c r="O6" s="28">
        <f t="shared" si="6"/>
        <v>0</v>
      </c>
      <c r="P6" s="29">
        <f t="shared" si="7"/>
        <v>0</v>
      </c>
      <c r="Q6" s="27">
        <f>VLOOKUP(C6,'[1]Participaciones  Tabla I'!$B$5:$AC$110,15,FALSE)</f>
        <v>0</v>
      </c>
      <c r="R6" s="27">
        <f>VLOOKUP(C6,'[1]Participaciones  Tabla I'!$B$5:$AC$110,16,FALSE)</f>
        <v>0</v>
      </c>
      <c r="S6" s="25">
        <f t="shared" si="8"/>
        <v>0</v>
      </c>
      <c r="T6" s="30">
        <f t="shared" si="9"/>
        <v>0</v>
      </c>
      <c r="U6" s="30">
        <f t="shared" si="10"/>
        <v>0</v>
      </c>
      <c r="V6" s="30">
        <f t="shared" si="11"/>
        <v>0</v>
      </c>
      <c r="W6" s="31">
        <f t="shared" si="12"/>
        <v>0</v>
      </c>
      <c r="X6" s="30">
        <f t="shared" ref="X6:X69" si="16">T6*0.02</f>
        <v>0</v>
      </c>
      <c r="Y6" s="31">
        <f>VLOOKUP(B6,'[1]Participaciones  Tabla I'!$A$5:$X$110,24,FALSE)</f>
        <v>54.383083000653997</v>
      </c>
      <c r="Z6" s="22">
        <f t="shared" ref="Z6:Z69" si="17">D6*(9.261-0.1456*Y6)</f>
        <v>2909.8976904320507</v>
      </c>
      <c r="AA6" s="33">
        <f t="shared" si="13"/>
        <v>1.9008644703283966E-3</v>
      </c>
      <c r="AB6" s="33">
        <f t="shared" ref="AB6:AB69" si="18">AA6*0.025</f>
        <v>4.7521611758209921E-5</v>
      </c>
      <c r="AC6" s="33">
        <f t="shared" ref="AC6:AC69" si="19">0.27/80</f>
        <v>3.3750000000000004E-3</v>
      </c>
      <c r="AD6" s="34">
        <f t="shared" ref="AD6:AD69" si="20">F6+W6+X6+AB6+AC6</f>
        <v>4.6262945121124301E-3</v>
      </c>
      <c r="AE6" s="59">
        <f>VLOOKUP(B6,[2]coeficientes!$A:$E,5,0)-AD6</f>
        <v>0</v>
      </c>
      <c r="AF6" s="62"/>
      <c r="AG6" s="62"/>
      <c r="AH6" s="2" t="s">
        <v>149</v>
      </c>
      <c r="AI6" s="2" t="s">
        <v>150</v>
      </c>
      <c r="AJ6" s="2">
        <f t="shared" si="14"/>
        <v>54.383083000653997</v>
      </c>
      <c r="AK6" s="2" t="s">
        <v>151</v>
      </c>
      <c r="AL6" s="2" t="s">
        <v>152</v>
      </c>
      <c r="AM6" s="60">
        <f t="shared" si="15"/>
        <v>2167</v>
      </c>
      <c r="AN6" s="61" t="s">
        <v>153</v>
      </c>
      <c r="AO6" s="2" t="str">
        <f t="shared" ref="AO6:AO69" si="21">CONCATENATE(AH6,AI6,AJ6,AK6,AL6,AM6,AN6)</f>
        <v>@((((54.383083000654+2.44852)*2167/65540751.1074742)))</v>
      </c>
    </row>
    <row r="7" spans="1:41" s="2" customFormat="1" ht="13.5" x14ac:dyDescent="0.2">
      <c r="A7" s="2" t="s">
        <v>155</v>
      </c>
      <c r="B7" s="20">
        <v>6</v>
      </c>
      <c r="C7" s="21" t="s">
        <v>37</v>
      </c>
      <c r="D7" s="22">
        <f>VLOOKUP(B7,'[1]Participaciones  Tabla I'!A$5:C$110,3)</f>
        <v>9159</v>
      </c>
      <c r="E7" s="24">
        <f t="shared" si="0"/>
        <v>7.9497548413303924E-3</v>
      </c>
      <c r="F7" s="24">
        <f t="shared" si="1"/>
        <v>5.0878430984514509E-3</v>
      </c>
      <c r="G7" s="25">
        <f>VLOOKUP(C7,'[1]Participaciones  Tabla I'!$B$5:$AC$110,5,FALSE)</f>
        <v>111676.66</v>
      </c>
      <c r="H7" s="25">
        <f>VLOOKUP(C7,'[1]Participaciones  Tabla I'!$B$5:$AC$110,6,FALSE)</f>
        <v>197134</v>
      </c>
      <c r="I7" s="25">
        <f t="shared" si="2"/>
        <v>308810.66000000003</v>
      </c>
      <c r="J7" s="26">
        <f t="shared" si="3"/>
        <v>2.3447474132545719E-3</v>
      </c>
      <c r="K7" s="26">
        <f t="shared" si="4"/>
        <v>7.7376664637400874E-4</v>
      </c>
      <c r="L7" s="27">
        <f>VLOOKUP(C7,'[1]Participaciones  Tabla I'!$B$5:$AC$110,10,FALSE)</f>
        <v>80087</v>
      </c>
      <c r="M7" s="27">
        <f>VLOOKUP(C7,'[1]Participaciones  Tabla I'!$B$5:$AC$110,11,FALSE)</f>
        <v>97394</v>
      </c>
      <c r="N7" s="25">
        <f t="shared" si="5"/>
        <v>177481</v>
      </c>
      <c r="O7" s="28">
        <f t="shared" si="6"/>
        <v>1.3763622115090907E-3</v>
      </c>
      <c r="P7" s="29">
        <f t="shared" si="7"/>
        <v>4.5419952979799998E-4</v>
      </c>
      <c r="Q7" s="27">
        <f>VLOOKUP(C7,'[1]Participaciones  Tabla I'!$B$5:$AC$110,15,FALSE)</f>
        <v>139023</v>
      </c>
      <c r="R7" s="27">
        <f>VLOOKUP(C7,'[1]Participaciones  Tabla I'!$B$5:$AC$110,16,FALSE)</f>
        <v>118617</v>
      </c>
      <c r="S7" s="25">
        <f t="shared" si="8"/>
        <v>257640</v>
      </c>
      <c r="T7" s="30">
        <f t="shared" si="9"/>
        <v>1.5993244538923246E-3</v>
      </c>
      <c r="U7" s="30">
        <f t="shared" si="10"/>
        <v>5.437703143233904E-4</v>
      </c>
      <c r="V7" s="30">
        <f t="shared" si="11"/>
        <v>1.771736490495399E-3</v>
      </c>
      <c r="W7" s="31">
        <f t="shared" si="12"/>
        <v>7.9728142072292956E-5</v>
      </c>
      <c r="X7" s="30">
        <f t="shared" si="16"/>
        <v>3.1986489077846495E-5</v>
      </c>
      <c r="Y7" s="31">
        <f>VLOOKUP(B7,'[1]Participaciones  Tabla I'!$A$5:$X$110,24,FALSE)</f>
        <v>54.146130246399998</v>
      </c>
      <c r="Z7" s="22">
        <f t="shared" si="17"/>
        <v>12614.90535146117</v>
      </c>
      <c r="AA7" s="33">
        <f t="shared" si="13"/>
        <v>8.2405733569236757E-3</v>
      </c>
      <c r="AB7" s="33">
        <f t="shared" si="18"/>
        <v>2.0601433392309189E-4</v>
      </c>
      <c r="AC7" s="33">
        <f t="shared" si="19"/>
        <v>3.3750000000000004E-3</v>
      </c>
      <c r="AD7" s="34">
        <f t="shared" si="20"/>
        <v>8.7805720635246824E-3</v>
      </c>
      <c r="AE7" s="59">
        <f>VLOOKUP(B7,[2]coeficientes!$A:$E,5,0)-AD7</f>
        <v>0</v>
      </c>
      <c r="AF7" s="62"/>
      <c r="AG7" s="62"/>
      <c r="AH7" s="2" t="s">
        <v>149</v>
      </c>
      <c r="AI7" s="2" t="s">
        <v>150</v>
      </c>
      <c r="AJ7" s="2">
        <f t="shared" si="14"/>
        <v>54.146130246399998</v>
      </c>
      <c r="AK7" s="2" t="s">
        <v>151</v>
      </c>
      <c r="AL7" s="2" t="s">
        <v>152</v>
      </c>
      <c r="AM7" s="60">
        <f t="shared" si="15"/>
        <v>9159</v>
      </c>
      <c r="AN7" s="61" t="s">
        <v>153</v>
      </c>
      <c r="AO7" s="2" t="str">
        <f t="shared" si="21"/>
        <v>@((((54.1461302464+2.44852)*9159/65540751.1074742)))</v>
      </c>
    </row>
    <row r="8" spans="1:41" s="2" customFormat="1" ht="13.5" x14ac:dyDescent="0.2">
      <c r="A8" s="2" t="s">
        <v>156</v>
      </c>
      <c r="B8" s="20">
        <v>7</v>
      </c>
      <c r="C8" s="39" t="s">
        <v>38</v>
      </c>
      <c r="D8" s="22">
        <f>VLOOKUP(B8,'[1]Participaciones  Tabla I'!A$5:C$110,3)</f>
        <v>7490</v>
      </c>
      <c r="E8" s="24">
        <f t="shared" si="0"/>
        <v>6.5011097021033561E-3</v>
      </c>
      <c r="F8" s="24">
        <f t="shared" si="1"/>
        <v>4.1607102093461478E-3</v>
      </c>
      <c r="G8" s="25">
        <f>VLOOKUP(C8,'[1]Participaciones  Tabla I'!$B$5:$AC$110,5,FALSE)</f>
        <v>64825.5</v>
      </c>
      <c r="H8" s="25">
        <f>VLOOKUP(C8,'[1]Participaciones  Tabla I'!$B$5:$AC$110,6,FALSE)</f>
        <v>15760</v>
      </c>
      <c r="I8" s="25">
        <f t="shared" si="2"/>
        <v>80585.5</v>
      </c>
      <c r="J8" s="26">
        <f t="shared" si="3"/>
        <v>6.1187215062726886E-4</v>
      </c>
      <c r="K8" s="26">
        <f t="shared" si="4"/>
        <v>2.0191780970699874E-4</v>
      </c>
      <c r="L8" s="27">
        <f>VLOOKUP(C8,'[1]Participaciones  Tabla I'!$B$5:$AC$110,10,FALSE)</f>
        <v>52111</v>
      </c>
      <c r="M8" s="27">
        <f>VLOOKUP(C8,'[1]Participaciones  Tabla I'!$B$5:$AC$110,11,FALSE)</f>
        <v>11460</v>
      </c>
      <c r="N8" s="25">
        <f t="shared" si="5"/>
        <v>63571</v>
      </c>
      <c r="O8" s="28">
        <f t="shared" si="6"/>
        <v>4.929920506862391E-4</v>
      </c>
      <c r="P8" s="29">
        <f t="shared" si="7"/>
        <v>1.626873767264589E-4</v>
      </c>
      <c r="Q8" s="27">
        <f>VLOOKUP(C8,'[1]Participaciones  Tabla I'!$B$5:$AC$110,15,FALSE)</f>
        <v>61295</v>
      </c>
      <c r="R8" s="27">
        <f>VLOOKUP(C8,'[1]Participaciones  Tabla I'!$B$5:$AC$110,16,FALSE)</f>
        <v>18865</v>
      </c>
      <c r="S8" s="25">
        <f t="shared" si="8"/>
        <v>80160</v>
      </c>
      <c r="T8" s="30">
        <f t="shared" si="9"/>
        <v>4.9760071504428177E-4</v>
      </c>
      <c r="U8" s="30">
        <f t="shared" si="10"/>
        <v>1.6918424311505582E-4</v>
      </c>
      <c r="V8" s="30">
        <f t="shared" si="11"/>
        <v>5.3378942954851352E-4</v>
      </c>
      <c r="W8" s="31">
        <f t="shared" si="12"/>
        <v>2.4020524329683106E-5</v>
      </c>
      <c r="X8" s="30">
        <f t="shared" si="16"/>
        <v>9.952014300885636E-6</v>
      </c>
      <c r="Y8" s="31">
        <f>VLOOKUP(B8,'[1]Participaciones  Tabla I'!$A$5:$X$110,24,FALSE)</f>
        <v>56.256665752072699</v>
      </c>
      <c r="Z8" s="22">
        <f t="shared" si="17"/>
        <v>8014.5207040716241</v>
      </c>
      <c r="AA8" s="33">
        <f t="shared" si="13"/>
        <v>5.2354135003348217E-3</v>
      </c>
      <c r="AB8" s="33">
        <f t="shared" si="18"/>
        <v>1.3088533750837055E-4</v>
      </c>
      <c r="AC8" s="33">
        <f t="shared" si="19"/>
        <v>3.3750000000000004E-3</v>
      </c>
      <c r="AD8" s="34">
        <f t="shared" si="20"/>
        <v>7.7005680854850883E-3</v>
      </c>
      <c r="AE8" s="59">
        <f>VLOOKUP(B8,[2]coeficientes!$A:$E,5,0)-AD8</f>
        <v>0</v>
      </c>
      <c r="AF8" s="62"/>
      <c r="AG8" s="62"/>
      <c r="AH8" s="2" t="s">
        <v>149</v>
      </c>
      <c r="AI8" s="2" t="s">
        <v>150</v>
      </c>
      <c r="AJ8" s="2">
        <f t="shared" si="14"/>
        <v>56.256665752072699</v>
      </c>
      <c r="AK8" s="2" t="s">
        <v>151</v>
      </c>
      <c r="AL8" s="2" t="s">
        <v>152</v>
      </c>
      <c r="AM8" s="60">
        <f t="shared" si="15"/>
        <v>7490</v>
      </c>
      <c r="AN8" s="61" t="s">
        <v>153</v>
      </c>
      <c r="AO8" s="2" t="str">
        <f t="shared" si="21"/>
        <v>@((((56.2566657520727+2.44852)*7490/65540751.1074742)))</v>
      </c>
    </row>
    <row r="9" spans="1:41" s="2" customFormat="1" ht="13.5" x14ac:dyDescent="0.2">
      <c r="A9" s="2" t="s">
        <v>157</v>
      </c>
      <c r="B9" s="20">
        <v>8</v>
      </c>
      <c r="C9" s="21" t="s">
        <v>39</v>
      </c>
      <c r="D9" s="22">
        <f>VLOOKUP(B9,'[1]Participaciones  Tabla I'!A$5:C$110,3)</f>
        <v>3949</v>
      </c>
      <c r="E9" s="24">
        <f t="shared" si="0"/>
        <v>3.4276211233119033E-3</v>
      </c>
      <c r="F9" s="24">
        <f t="shared" si="1"/>
        <v>2.193677518919618E-3</v>
      </c>
      <c r="G9" s="25">
        <f>VLOOKUP(C9,'[1]Participaciones  Tabla I'!$B$5:$AC$110,5,FALSE)</f>
        <v>33013.21</v>
      </c>
      <c r="H9" s="25">
        <f>VLOOKUP(C9,'[1]Participaciones  Tabla I'!$B$5:$AC$110,6,FALSE)</f>
        <v>5525</v>
      </c>
      <c r="I9" s="25">
        <f t="shared" si="2"/>
        <v>38538.21</v>
      </c>
      <c r="J9" s="26">
        <f t="shared" si="3"/>
        <v>2.9261414812869953E-4</v>
      </c>
      <c r="K9" s="26">
        <f t="shared" si="4"/>
        <v>9.6562668882470856E-5</v>
      </c>
      <c r="L9" s="27">
        <f>VLOOKUP(C9,'[1]Participaciones  Tabla I'!$B$5:$AC$110,10,FALSE)</f>
        <v>36716.720000000001</v>
      </c>
      <c r="M9" s="27">
        <f>VLOOKUP(C9,'[1]Participaciones  Tabla I'!$B$5:$AC$110,11,FALSE)</f>
        <v>58257</v>
      </c>
      <c r="N9" s="25">
        <f t="shared" si="5"/>
        <v>94973.72</v>
      </c>
      <c r="O9" s="28">
        <f t="shared" si="6"/>
        <v>7.3651962347769714E-4</v>
      </c>
      <c r="P9" s="29">
        <f t="shared" si="7"/>
        <v>2.4305147574764006E-4</v>
      </c>
      <c r="Q9" s="27">
        <f>VLOOKUP(C9,'[1]Participaciones  Tabla I'!$B$5:$AC$110,15,FALSE)</f>
        <v>52800.18</v>
      </c>
      <c r="R9" s="27">
        <f>VLOOKUP(C9,'[1]Participaciones  Tabla I'!$B$5:$AC$110,16,FALSE)</f>
        <v>4308</v>
      </c>
      <c r="S9" s="25">
        <f t="shared" si="8"/>
        <v>57108.18</v>
      </c>
      <c r="T9" s="30">
        <f t="shared" si="9"/>
        <v>3.5450438127342251E-4</v>
      </c>
      <c r="U9" s="30">
        <f t="shared" si="10"/>
        <v>1.2053148963296367E-4</v>
      </c>
      <c r="V9" s="30">
        <f t="shared" si="11"/>
        <v>4.6014563426307459E-4</v>
      </c>
      <c r="W9" s="31">
        <f t="shared" si="12"/>
        <v>2.0706553541838354E-5</v>
      </c>
      <c r="X9" s="30">
        <f t="shared" si="16"/>
        <v>7.0900876254684503E-6</v>
      </c>
      <c r="Y9" s="31">
        <f>VLOOKUP(B9,'[1]Participaciones  Tabla I'!$A$5:$X$110,24,FALSE)</f>
        <v>52.119102222447303</v>
      </c>
      <c r="Z9" s="22">
        <f t="shared" si="17"/>
        <v>6604.5394711096887</v>
      </c>
      <c r="AA9" s="33">
        <f t="shared" si="13"/>
        <v>4.314355953060978E-3</v>
      </c>
      <c r="AB9" s="33">
        <f t="shared" si="18"/>
        <v>1.0785889882652445E-4</v>
      </c>
      <c r="AC9" s="33">
        <f t="shared" si="19"/>
        <v>3.3750000000000004E-3</v>
      </c>
      <c r="AD9" s="34">
        <f t="shared" si="20"/>
        <v>5.7043330589134494E-3</v>
      </c>
      <c r="AE9" s="59">
        <f>VLOOKUP(B9,[2]coeficientes!$A:$E,5,0)-AD9</f>
        <v>0</v>
      </c>
      <c r="AF9" s="62"/>
      <c r="AG9" s="62"/>
      <c r="AH9" s="2" t="s">
        <v>149</v>
      </c>
      <c r="AI9" s="2" t="s">
        <v>150</v>
      </c>
      <c r="AJ9" s="2">
        <f t="shared" si="14"/>
        <v>52.119102222447303</v>
      </c>
      <c r="AK9" s="2" t="s">
        <v>151</v>
      </c>
      <c r="AL9" s="2" t="s">
        <v>152</v>
      </c>
      <c r="AM9" s="60">
        <f t="shared" si="15"/>
        <v>3949</v>
      </c>
      <c r="AN9" s="61" t="s">
        <v>153</v>
      </c>
      <c r="AO9" s="2" t="str">
        <f t="shared" si="21"/>
        <v>@((((52.1191022224473+2.44852)*3949/65540751.1074742)))</v>
      </c>
    </row>
    <row r="10" spans="1:41" s="2" customFormat="1" ht="13.5" x14ac:dyDescent="0.2">
      <c r="A10" s="2" t="s">
        <v>158</v>
      </c>
      <c r="B10" s="20">
        <v>9</v>
      </c>
      <c r="C10" s="39" t="s">
        <v>40</v>
      </c>
      <c r="D10" s="22">
        <f>VLOOKUP(B10,'[1]Participaciones  Tabla I'!A$5:C$110,3)</f>
        <v>4466</v>
      </c>
      <c r="E10" s="24">
        <f t="shared" si="0"/>
        <v>3.8763626074223749E-3</v>
      </c>
      <c r="F10" s="24">
        <f t="shared" si="1"/>
        <v>2.48087206875032E-3</v>
      </c>
      <c r="G10" s="25">
        <f>VLOOKUP(C10,'[1]Participaciones  Tabla I'!$B$5:$AC$110,5,FALSE)</f>
        <v>67793</v>
      </c>
      <c r="H10" s="25">
        <f>VLOOKUP(C10,'[1]Participaciones  Tabla I'!$B$5:$AC$110,6,FALSE)</f>
        <v>39213</v>
      </c>
      <c r="I10" s="25">
        <f t="shared" si="2"/>
        <v>107006</v>
      </c>
      <c r="J10" s="26">
        <f t="shared" si="3"/>
        <v>8.1247856438219684E-4</v>
      </c>
      <c r="K10" s="26">
        <f t="shared" si="4"/>
        <v>2.6811792624612495E-4</v>
      </c>
      <c r="L10" s="27">
        <f>VLOOKUP(C10,'[1]Participaciones  Tabla I'!$B$5:$AC$110,10,FALSE)</f>
        <v>54723</v>
      </c>
      <c r="M10" s="27">
        <f>VLOOKUP(C10,'[1]Participaciones  Tabla I'!$B$5:$AC$110,11,FALSE)</f>
        <v>90810</v>
      </c>
      <c r="N10" s="25">
        <f t="shared" si="5"/>
        <v>145533</v>
      </c>
      <c r="O10" s="28">
        <f t="shared" si="6"/>
        <v>1.1286060013610049E-3</v>
      </c>
      <c r="P10" s="29">
        <f t="shared" si="7"/>
        <v>3.7243998044913162E-4</v>
      </c>
      <c r="Q10" s="27">
        <f>VLOOKUP(C10,'[1]Participaciones  Tabla I'!$B$5:$AC$110,15,FALSE)</f>
        <v>84738</v>
      </c>
      <c r="R10" s="27">
        <f>VLOOKUP(C10,'[1]Participaciones  Tabla I'!$B$5:$AC$110,16,FALSE)</f>
        <v>42076</v>
      </c>
      <c r="S10" s="25">
        <f t="shared" si="8"/>
        <v>126814</v>
      </c>
      <c r="T10" s="30">
        <f t="shared" si="9"/>
        <v>7.8720979388255418E-4</v>
      </c>
      <c r="U10" s="30">
        <f t="shared" si="10"/>
        <v>2.6765132992006847E-4</v>
      </c>
      <c r="V10" s="30">
        <f t="shared" si="11"/>
        <v>9.0820923661532509E-4</v>
      </c>
      <c r="W10" s="31">
        <f t="shared" si="12"/>
        <v>4.0869415647689625E-5</v>
      </c>
      <c r="X10" s="30">
        <f t="shared" si="16"/>
        <v>1.5744195877651085E-5</v>
      </c>
      <c r="Y10" s="31">
        <f>VLOOKUP(B10,'[1]Participaciones  Tabla I'!$A$5:$X$110,24,FALSE)</f>
        <v>53.728510472629701</v>
      </c>
      <c r="Z10" s="22">
        <f t="shared" si="17"/>
        <v>6422.6835565767215</v>
      </c>
      <c r="AA10" s="33">
        <f t="shared" si="13"/>
        <v>4.195560214024713E-3</v>
      </c>
      <c r="AB10" s="33">
        <f t="shared" si="18"/>
        <v>1.0488900535061784E-4</v>
      </c>
      <c r="AC10" s="33">
        <f t="shared" si="19"/>
        <v>3.3750000000000004E-3</v>
      </c>
      <c r="AD10" s="34">
        <f t="shared" si="20"/>
        <v>6.0173746856262787E-3</v>
      </c>
      <c r="AE10" s="59">
        <f>VLOOKUP(B10,[2]coeficientes!$A:$E,5,0)-AD10</f>
        <v>0</v>
      </c>
      <c r="AF10" s="62"/>
      <c r="AG10" s="62"/>
      <c r="AH10" s="2" t="s">
        <v>149</v>
      </c>
      <c r="AI10" s="2" t="s">
        <v>150</v>
      </c>
      <c r="AJ10" s="2">
        <f t="shared" si="14"/>
        <v>53.728510472629701</v>
      </c>
      <c r="AK10" s="2" t="s">
        <v>151</v>
      </c>
      <c r="AL10" s="2" t="s">
        <v>152</v>
      </c>
      <c r="AM10" s="60">
        <f t="shared" si="15"/>
        <v>4466</v>
      </c>
      <c r="AN10" s="61" t="s">
        <v>153</v>
      </c>
      <c r="AO10" s="2" t="str">
        <f t="shared" si="21"/>
        <v>@((((53.7285104726297+2.44852)*4466/65540751.1074742)))</v>
      </c>
    </row>
    <row r="11" spans="1:41" s="2" customFormat="1" ht="13.5" x14ac:dyDescent="0.2">
      <c r="A11" s="2" t="s">
        <v>159</v>
      </c>
      <c r="B11" s="20">
        <v>10</v>
      </c>
      <c r="C11" s="21" t="s">
        <v>41</v>
      </c>
      <c r="D11" s="22">
        <f>VLOOKUP(B11,'[1]Participaciones  Tabla I'!A$5:C$110,3)</f>
        <v>2755</v>
      </c>
      <c r="E11" s="24">
        <f t="shared" si="0"/>
        <v>2.3912626474358809E-3</v>
      </c>
      <c r="F11" s="24">
        <f t="shared" si="1"/>
        <v>1.5304080943589638E-3</v>
      </c>
      <c r="G11" s="25">
        <f>VLOOKUP(C11,'[1]Participaciones  Tabla I'!$B$5:$AC$110,5,FALSE)</f>
        <v>0</v>
      </c>
      <c r="H11" s="25">
        <f>VLOOKUP(C11,'[1]Participaciones  Tabla I'!$B$5:$AC$110,6,FALSE)</f>
        <v>0</v>
      </c>
      <c r="I11" s="25">
        <f t="shared" si="2"/>
        <v>0</v>
      </c>
      <c r="J11" s="26">
        <f t="shared" si="3"/>
        <v>0</v>
      </c>
      <c r="K11" s="26">
        <f t="shared" si="4"/>
        <v>0</v>
      </c>
      <c r="L11" s="27">
        <f>VLOOKUP(C11,'[1]Participaciones  Tabla I'!$B$5:$AC$110,10,FALSE)</f>
        <v>0</v>
      </c>
      <c r="M11" s="27">
        <f>VLOOKUP(C11,'[1]Participaciones  Tabla I'!$B$5:$AC$110,11,FALSE)</f>
        <v>0</v>
      </c>
      <c r="N11" s="25">
        <f t="shared" si="5"/>
        <v>0</v>
      </c>
      <c r="O11" s="28">
        <f t="shared" si="6"/>
        <v>0</v>
      </c>
      <c r="P11" s="29">
        <f t="shared" si="7"/>
        <v>0</v>
      </c>
      <c r="Q11" s="27">
        <f>VLOOKUP(C11,'[1]Participaciones  Tabla I'!$B$5:$AC$110,15,FALSE)</f>
        <v>0</v>
      </c>
      <c r="R11" s="27">
        <f>VLOOKUP(C11,'[1]Participaciones  Tabla I'!$B$5:$AC$110,16,FALSE)</f>
        <v>0</v>
      </c>
      <c r="S11" s="25">
        <f t="shared" si="8"/>
        <v>0</v>
      </c>
      <c r="T11" s="30">
        <f t="shared" si="9"/>
        <v>0</v>
      </c>
      <c r="U11" s="30">
        <f t="shared" si="10"/>
        <v>0</v>
      </c>
      <c r="V11" s="30">
        <f t="shared" si="11"/>
        <v>0</v>
      </c>
      <c r="W11" s="31">
        <f t="shared" si="12"/>
        <v>0</v>
      </c>
      <c r="X11" s="30">
        <f t="shared" si="16"/>
        <v>0</v>
      </c>
      <c r="Y11" s="31">
        <f>VLOOKUP(B11,'[1]Participaciones  Tabla I'!$A$5:$X$110,24,FALSE)</f>
        <v>49.061852249180603</v>
      </c>
      <c r="Z11" s="22">
        <f t="shared" si="17"/>
        <v>5833.9723309906803</v>
      </c>
      <c r="AA11" s="33">
        <f t="shared" si="13"/>
        <v>3.8109899057009733E-3</v>
      </c>
      <c r="AB11" s="33">
        <f t="shared" si="18"/>
        <v>9.5274747642524343E-5</v>
      </c>
      <c r="AC11" s="33">
        <f t="shared" si="19"/>
        <v>3.3750000000000004E-3</v>
      </c>
      <c r="AD11" s="34">
        <f t="shared" si="20"/>
        <v>5.0006828420014887E-3</v>
      </c>
      <c r="AE11" s="59">
        <f>VLOOKUP(B11,[2]coeficientes!$A:$E,5,0)-AD11</f>
        <v>0</v>
      </c>
      <c r="AF11" s="62"/>
      <c r="AG11" s="62"/>
      <c r="AH11" s="2" t="s">
        <v>149</v>
      </c>
      <c r="AI11" s="2" t="s">
        <v>150</v>
      </c>
      <c r="AJ11" s="2">
        <f t="shared" si="14"/>
        <v>49.061852249180603</v>
      </c>
      <c r="AK11" s="2" t="s">
        <v>151</v>
      </c>
      <c r="AL11" s="2" t="s">
        <v>152</v>
      </c>
      <c r="AM11" s="60">
        <f t="shared" si="15"/>
        <v>2755</v>
      </c>
      <c r="AN11" s="61" t="s">
        <v>153</v>
      </c>
      <c r="AO11" s="2" t="str">
        <f t="shared" si="21"/>
        <v>@((((49.0618522491806+2.44852)*2755/65540751.1074742)))</v>
      </c>
    </row>
    <row r="12" spans="1:41" s="2" customFormat="1" ht="13.5" x14ac:dyDescent="0.2">
      <c r="A12" s="2" t="s">
        <v>160</v>
      </c>
      <c r="B12" s="20">
        <v>11</v>
      </c>
      <c r="C12" s="21" t="s">
        <v>42</v>
      </c>
      <c r="D12" s="22">
        <f>VLOOKUP(B12,'[1]Participaciones  Tabla I'!A$5:C$110,3)</f>
        <v>8389</v>
      </c>
      <c r="E12" s="24">
        <f t="shared" si="0"/>
        <v>7.2814164607403276E-3</v>
      </c>
      <c r="F12" s="24">
        <f t="shared" si="1"/>
        <v>4.66010653487381E-3</v>
      </c>
      <c r="G12" s="25">
        <f>VLOOKUP(C12,'[1]Participaciones  Tabla I'!$B$5:$AC$110,5,FALSE)</f>
        <v>530347.30000000005</v>
      </c>
      <c r="H12" s="25">
        <f>VLOOKUP(C12,'[1]Participaciones  Tabla I'!$B$5:$AC$110,6,FALSE)</f>
        <v>23110</v>
      </c>
      <c r="I12" s="25">
        <f t="shared" si="2"/>
        <v>553457.30000000005</v>
      </c>
      <c r="J12" s="26">
        <f t="shared" si="3"/>
        <v>4.202308212164242E-3</v>
      </c>
      <c r="K12" s="26">
        <f t="shared" si="4"/>
        <v>1.3867617100142E-3</v>
      </c>
      <c r="L12" s="27">
        <f>VLOOKUP(C12,'[1]Participaciones  Tabla I'!$B$5:$AC$110,10,FALSE)</f>
        <v>382911.11</v>
      </c>
      <c r="M12" s="27">
        <f>VLOOKUP(C12,'[1]Participaciones  Tabla I'!$B$5:$AC$110,11,FALSE)</f>
        <v>37000</v>
      </c>
      <c r="N12" s="25">
        <f t="shared" si="5"/>
        <v>419911.11</v>
      </c>
      <c r="O12" s="28">
        <f t="shared" si="6"/>
        <v>3.2564036938987104E-3</v>
      </c>
      <c r="P12" s="29">
        <f t="shared" si="7"/>
        <v>1.0746132189865744E-3</v>
      </c>
      <c r="Q12" s="27">
        <f>VLOOKUP(C12,'[1]Participaciones  Tabla I'!$B$5:$AC$110,15,FALSE)</f>
        <v>300492.55</v>
      </c>
      <c r="R12" s="27">
        <f>VLOOKUP(C12,'[1]Participaciones  Tabla I'!$B$5:$AC$110,16,FALSE)</f>
        <v>8900</v>
      </c>
      <c r="S12" s="25">
        <f t="shared" si="8"/>
        <v>309392.55</v>
      </c>
      <c r="T12" s="30">
        <f t="shared" si="9"/>
        <v>1.920583259847476E-3</v>
      </c>
      <c r="U12" s="30">
        <f t="shared" si="10"/>
        <v>6.5299830834814184E-4</v>
      </c>
      <c r="V12" s="30">
        <f t="shared" si="11"/>
        <v>3.1143732373489163E-3</v>
      </c>
      <c r="W12" s="31">
        <f t="shared" si="12"/>
        <v>1.4014679568070121E-4</v>
      </c>
      <c r="X12" s="30">
        <f t="shared" si="16"/>
        <v>3.841166519694952E-5</v>
      </c>
      <c r="Y12" s="31">
        <f>VLOOKUP(B12,'[1]Participaciones  Tabla I'!$A$5:$X$110,24,FALSE)</f>
        <v>55.201169409642802</v>
      </c>
      <c r="Z12" s="22">
        <f t="shared" si="17"/>
        <v>10265.70095815694</v>
      </c>
      <c r="AA12" s="33">
        <f t="shared" si="13"/>
        <v>6.705976735381162E-3</v>
      </c>
      <c r="AB12" s="33">
        <f t="shared" si="18"/>
        <v>1.6764941838452906E-4</v>
      </c>
      <c r="AC12" s="33">
        <f t="shared" si="19"/>
        <v>3.3750000000000004E-3</v>
      </c>
      <c r="AD12" s="34">
        <f t="shared" si="20"/>
        <v>8.3813144141359902E-3</v>
      </c>
      <c r="AE12" s="59">
        <f>VLOOKUP(B12,[2]coeficientes!$A:$E,5,0)-AD12</f>
        <v>0</v>
      </c>
      <c r="AF12" s="62"/>
      <c r="AG12" s="62"/>
      <c r="AH12" s="2" t="s">
        <v>149</v>
      </c>
      <c r="AI12" s="2" t="s">
        <v>150</v>
      </c>
      <c r="AJ12" s="2">
        <f t="shared" si="14"/>
        <v>55.201169409642802</v>
      </c>
      <c r="AK12" s="2" t="s">
        <v>151</v>
      </c>
      <c r="AL12" s="2" t="s">
        <v>152</v>
      </c>
      <c r="AM12" s="60">
        <f t="shared" si="15"/>
        <v>8389</v>
      </c>
      <c r="AN12" s="61" t="s">
        <v>153</v>
      </c>
      <c r="AO12" s="2" t="str">
        <f t="shared" si="21"/>
        <v>@((((55.2011694096428+2.44852)*8389/65540751.1074742)))</v>
      </c>
    </row>
    <row r="13" spans="1:41" s="2" customFormat="1" ht="13.5" x14ac:dyDescent="0.2">
      <c r="A13" s="2" t="s">
        <v>161</v>
      </c>
      <c r="B13" s="20">
        <v>13</v>
      </c>
      <c r="C13" s="39" t="s">
        <v>44</v>
      </c>
      <c r="D13" s="22">
        <f>VLOOKUP(B13,'[1]Participaciones  Tabla I'!A$5:C$110,3)</f>
        <v>16671</v>
      </c>
      <c r="E13" s="24">
        <f t="shared" si="0"/>
        <v>1.4469959925736322E-2</v>
      </c>
      <c r="F13" s="24">
        <f t="shared" si="1"/>
        <v>9.260774352471246E-3</v>
      </c>
      <c r="G13" s="25">
        <f>VLOOKUP(C13,'[1]Participaciones  Tabla I'!$B$5:$AC$110,5,FALSE)</f>
        <v>1947092.82</v>
      </c>
      <c r="H13" s="25">
        <f>VLOOKUP(C13,'[1]Participaciones  Tabla I'!$B$5:$AC$110,6,FALSE)</f>
        <v>646498.4</v>
      </c>
      <c r="I13" s="25">
        <f t="shared" si="2"/>
        <v>2593591.2200000002</v>
      </c>
      <c r="J13" s="26">
        <f t="shared" si="3"/>
        <v>1.9692702007549769E-2</v>
      </c>
      <c r="K13" s="26">
        <f t="shared" si="4"/>
        <v>6.4985916624914243E-3</v>
      </c>
      <c r="L13" s="27">
        <f>VLOOKUP(C13,'[1]Participaciones  Tabla I'!$B$5:$AC$110,10,FALSE)</f>
        <v>5209291.54</v>
      </c>
      <c r="M13" s="27">
        <f>VLOOKUP(C13,'[1]Participaciones  Tabla I'!$B$5:$AC$110,11,FALSE)</f>
        <v>2121109.84</v>
      </c>
      <c r="N13" s="25">
        <f t="shared" si="5"/>
        <v>7330401.3799999999</v>
      </c>
      <c r="O13" s="28">
        <f t="shared" si="6"/>
        <v>5.6847141128493137E-2</v>
      </c>
      <c r="P13" s="29">
        <f t="shared" si="7"/>
        <v>1.8759556572402736E-2</v>
      </c>
      <c r="Q13" s="27">
        <f>VLOOKUP(C13,'[1]Participaciones  Tabla I'!$B$5:$AC$110,15,FALSE)</f>
        <v>9123211.2799999993</v>
      </c>
      <c r="R13" s="27">
        <f>VLOOKUP(C13,'[1]Participaciones  Tabla I'!$B$5:$AC$110,16,FALSE)</f>
        <v>620168.62</v>
      </c>
      <c r="S13" s="25">
        <f t="shared" si="8"/>
        <v>9743379.8999999985</v>
      </c>
      <c r="T13" s="30">
        <f t="shared" si="9"/>
        <v>6.0482944176498021E-2</v>
      </c>
      <c r="U13" s="30">
        <f t="shared" si="10"/>
        <v>2.0564201020009328E-2</v>
      </c>
      <c r="V13" s="30">
        <f t="shared" si="11"/>
        <v>4.5822349254903486E-2</v>
      </c>
      <c r="W13" s="31">
        <f t="shared" si="12"/>
        <v>2.0620057164706567E-3</v>
      </c>
      <c r="X13" s="30">
        <f t="shared" si="16"/>
        <v>1.2096588835299605E-3</v>
      </c>
      <c r="Y13" s="31">
        <f>VLOOKUP(B13,'[1]Participaciones  Tabla I'!$A$5:$X$110,24,FALSE)</f>
        <v>58.883084195099201</v>
      </c>
      <c r="Z13" s="22">
        <f t="shared" si="17"/>
        <v>11463.362052637745</v>
      </c>
      <c r="AA13" s="33">
        <f t="shared" si="13"/>
        <v>7.4883380635745126E-3</v>
      </c>
      <c r="AB13" s="33">
        <f t="shared" si="18"/>
        <v>1.8720845158936282E-4</v>
      </c>
      <c r="AC13" s="33">
        <f t="shared" si="19"/>
        <v>3.3750000000000004E-3</v>
      </c>
      <c r="AD13" s="34">
        <f t="shared" si="20"/>
        <v>1.6094647404061226E-2</v>
      </c>
      <c r="AE13" s="59">
        <f>VLOOKUP(B13,[2]coeficientes!$A:$E,5,0)-AD13</f>
        <v>0</v>
      </c>
      <c r="AF13" s="62"/>
      <c r="AG13" s="62"/>
      <c r="AH13" s="2" t="s">
        <v>149</v>
      </c>
      <c r="AI13" s="2" t="s">
        <v>150</v>
      </c>
      <c r="AJ13" s="2">
        <f t="shared" si="14"/>
        <v>58.883084195099201</v>
      </c>
      <c r="AK13" s="2" t="s">
        <v>151</v>
      </c>
      <c r="AL13" s="2" t="s">
        <v>152</v>
      </c>
      <c r="AM13" s="60">
        <f t="shared" si="15"/>
        <v>16671</v>
      </c>
      <c r="AN13" s="61" t="s">
        <v>153</v>
      </c>
      <c r="AO13" s="2" t="str">
        <f t="shared" si="21"/>
        <v>@((((58.8830841950992+2.44852)*16671/65540751.1074742)))</v>
      </c>
    </row>
    <row r="14" spans="1:41" s="2" customFormat="1" ht="13.5" x14ac:dyDescent="0.2">
      <c r="A14" s="2" t="s">
        <v>162</v>
      </c>
      <c r="B14" s="20">
        <v>15</v>
      </c>
      <c r="C14" s="39" t="s">
        <v>46</v>
      </c>
      <c r="D14" s="22">
        <f>VLOOKUP(B14,'[1]Participaciones  Tabla I'!A$5:C$110,3)</f>
        <v>5560</v>
      </c>
      <c r="E14" s="24">
        <f t="shared" si="0"/>
        <v>4.8259238910139737E-3</v>
      </c>
      <c r="F14" s="24">
        <f t="shared" si="1"/>
        <v>3.0885912902489433E-3</v>
      </c>
      <c r="G14" s="25">
        <f>VLOOKUP(C14,'[1]Participaciones  Tabla I'!$B$5:$AC$110,5,FALSE)</f>
        <v>19150</v>
      </c>
      <c r="H14" s="25">
        <f>VLOOKUP(C14,'[1]Participaciones  Tabla I'!$B$5:$AC$110,6,FALSE)</f>
        <v>0</v>
      </c>
      <c r="I14" s="25">
        <f t="shared" si="2"/>
        <v>19150</v>
      </c>
      <c r="J14" s="26">
        <f t="shared" si="3"/>
        <v>1.4540272982747763E-4</v>
      </c>
      <c r="K14" s="26">
        <f t="shared" si="4"/>
        <v>4.7982900843067618E-5</v>
      </c>
      <c r="L14" s="27">
        <f>VLOOKUP(C14,'[1]Participaciones  Tabla I'!$B$5:$AC$110,10,FALSE)</f>
        <v>20500</v>
      </c>
      <c r="M14" s="27">
        <f>VLOOKUP(C14,'[1]Participaciones  Tabla I'!$B$5:$AC$110,11,FALSE)</f>
        <v>0</v>
      </c>
      <c r="N14" s="25">
        <f t="shared" si="5"/>
        <v>20500</v>
      </c>
      <c r="O14" s="28">
        <f t="shared" si="6"/>
        <v>1.5897716001113561E-4</v>
      </c>
      <c r="P14" s="29">
        <f t="shared" si="7"/>
        <v>5.2462462803674758E-5</v>
      </c>
      <c r="Q14" s="27">
        <f>VLOOKUP(C14,'[1]Participaciones  Tabla I'!$B$5:$AC$110,15,FALSE)</f>
        <v>21650</v>
      </c>
      <c r="R14" s="27">
        <f>VLOOKUP(C14,'[1]Participaciones  Tabla I'!$B$5:$AC$110,16,FALSE)</f>
        <v>0</v>
      </c>
      <c r="S14" s="25">
        <f t="shared" si="8"/>
        <v>21650</v>
      </c>
      <c r="T14" s="30">
        <f t="shared" si="9"/>
        <v>1.3439440469945982E-4</v>
      </c>
      <c r="U14" s="30">
        <f t="shared" si="10"/>
        <v>4.5694097597816344E-5</v>
      </c>
      <c r="V14" s="30">
        <f t="shared" si="11"/>
        <v>1.4613946124455871E-4</v>
      </c>
      <c r="W14" s="31">
        <f t="shared" si="12"/>
        <v>6.5762757560051413E-6</v>
      </c>
      <c r="X14" s="30">
        <f t="shared" si="16"/>
        <v>2.6878880939891964E-6</v>
      </c>
      <c r="Y14" s="31">
        <f>VLOOKUP(B14,'[1]Participaciones  Tabla I'!$A$5:$X$110,24,FALSE)</f>
        <v>51.711242823354397</v>
      </c>
      <c r="Z14" s="22">
        <f t="shared" si="17"/>
        <v>9629.0473297529661</v>
      </c>
      <c r="AA14" s="33">
        <f t="shared" si="13"/>
        <v>6.2900884840113736E-3</v>
      </c>
      <c r="AB14" s="33">
        <f t="shared" si="18"/>
        <v>1.5725221210028436E-4</v>
      </c>
      <c r="AC14" s="33">
        <f t="shared" si="19"/>
        <v>3.3750000000000004E-3</v>
      </c>
      <c r="AD14" s="34">
        <f t="shared" si="20"/>
        <v>6.6301076661992222E-3</v>
      </c>
      <c r="AE14" s="59">
        <f>VLOOKUP(B14,[2]coeficientes!$A:$E,5,0)-AD14</f>
        <v>0</v>
      </c>
      <c r="AF14" s="62"/>
      <c r="AG14" s="62"/>
      <c r="AH14" s="2" t="s">
        <v>149</v>
      </c>
      <c r="AI14" s="2" t="s">
        <v>150</v>
      </c>
      <c r="AJ14" s="2">
        <f t="shared" si="14"/>
        <v>51.711242823354397</v>
      </c>
      <c r="AK14" s="2" t="s">
        <v>151</v>
      </c>
      <c r="AL14" s="2" t="s">
        <v>152</v>
      </c>
      <c r="AM14" s="60">
        <f t="shared" si="15"/>
        <v>5560</v>
      </c>
      <c r="AN14" s="61" t="s">
        <v>153</v>
      </c>
      <c r="AO14" s="2" t="str">
        <f t="shared" si="21"/>
        <v>@((((51.7112428233544+2.44852)*5560/65540751.1074742)))</v>
      </c>
    </row>
    <row r="15" spans="1:41" s="2" customFormat="1" ht="13.5" x14ac:dyDescent="0.2">
      <c r="A15" s="2" t="s">
        <v>163</v>
      </c>
      <c r="B15" s="20">
        <v>16</v>
      </c>
      <c r="C15" s="21" t="s">
        <v>47</v>
      </c>
      <c r="D15" s="22">
        <f>VLOOKUP(B15,'[1]Participaciones  Tabla I'!A$5:C$110,3)</f>
        <v>3104</v>
      </c>
      <c r="E15" s="24">
        <f t="shared" si="0"/>
        <v>2.6941848485085205E-3</v>
      </c>
      <c r="F15" s="24">
        <f t="shared" si="1"/>
        <v>1.7242783030454532E-3</v>
      </c>
      <c r="G15" s="25">
        <f>VLOOKUP(C15,'[1]Participaciones  Tabla I'!$B$5:$AC$110,5,FALSE)</f>
        <v>0</v>
      </c>
      <c r="H15" s="25">
        <f>VLOOKUP(C15,'[1]Participaciones  Tabla I'!$B$5:$AC$110,6,FALSE)</f>
        <v>23390</v>
      </c>
      <c r="I15" s="25">
        <f t="shared" si="2"/>
        <v>23390</v>
      </c>
      <c r="J15" s="26">
        <f t="shared" si="3"/>
        <v>1.7759633684933168E-4</v>
      </c>
      <c r="K15" s="26">
        <f t="shared" si="4"/>
        <v>5.8606791160279455E-5</v>
      </c>
      <c r="L15" s="27">
        <f>VLOOKUP(C15,'[1]Participaciones  Tabla I'!$B$5:$AC$110,10,FALSE)</f>
        <v>0</v>
      </c>
      <c r="M15" s="27">
        <f>VLOOKUP(C15,'[1]Participaciones  Tabla I'!$B$5:$AC$110,11,FALSE)</f>
        <v>0</v>
      </c>
      <c r="N15" s="25">
        <f t="shared" si="5"/>
        <v>0</v>
      </c>
      <c r="O15" s="28">
        <f t="shared" si="6"/>
        <v>0</v>
      </c>
      <c r="P15" s="29">
        <f t="shared" si="7"/>
        <v>0</v>
      </c>
      <c r="Q15" s="27">
        <f>VLOOKUP(C15,'[1]Participaciones  Tabla I'!$B$5:$AC$110,15,FALSE)</f>
        <v>0</v>
      </c>
      <c r="R15" s="27">
        <f>VLOOKUP(C15,'[1]Participaciones  Tabla I'!$B$5:$AC$110,16,FALSE)</f>
        <v>0</v>
      </c>
      <c r="S15" s="25">
        <f t="shared" si="8"/>
        <v>0</v>
      </c>
      <c r="T15" s="30">
        <f t="shared" si="9"/>
        <v>0</v>
      </c>
      <c r="U15" s="30">
        <f t="shared" si="10"/>
        <v>0</v>
      </c>
      <c r="V15" s="30">
        <f t="shared" si="11"/>
        <v>5.8606791160279455E-5</v>
      </c>
      <c r="W15" s="31">
        <f t="shared" si="12"/>
        <v>2.6373056022125755E-6</v>
      </c>
      <c r="X15" s="30">
        <f t="shared" si="16"/>
        <v>0</v>
      </c>
      <c r="Y15" s="31">
        <f>VLOOKUP(B15,'[1]Participaciones  Tabla I'!$A$5:$X$110,24,FALSE)</f>
        <v>52.303856046019497</v>
      </c>
      <c r="Z15" s="22">
        <f t="shared" si="17"/>
        <v>5107.8137693074341</v>
      </c>
      <c r="AA15" s="33">
        <f t="shared" si="13"/>
        <v>3.3366333624221243E-3</v>
      </c>
      <c r="AB15" s="33">
        <f t="shared" si="18"/>
        <v>8.3415834060553113E-5</v>
      </c>
      <c r="AC15" s="33">
        <f t="shared" si="19"/>
        <v>3.3750000000000004E-3</v>
      </c>
      <c r="AD15" s="34">
        <f t="shared" si="20"/>
        <v>5.1853314427082195E-3</v>
      </c>
      <c r="AE15" s="59">
        <f>VLOOKUP(B15,[2]coeficientes!$A:$E,5,0)-AD15</f>
        <v>0</v>
      </c>
      <c r="AF15" s="62"/>
      <c r="AG15" s="62"/>
      <c r="AH15" s="2" t="s">
        <v>149</v>
      </c>
      <c r="AI15" s="2" t="s">
        <v>150</v>
      </c>
      <c r="AJ15" s="2">
        <f t="shared" si="14"/>
        <v>52.303856046019497</v>
      </c>
      <c r="AK15" s="2" t="s">
        <v>151</v>
      </c>
      <c r="AL15" s="2" t="s">
        <v>152</v>
      </c>
      <c r="AM15" s="60">
        <f t="shared" si="15"/>
        <v>3104</v>
      </c>
      <c r="AN15" s="61" t="s">
        <v>153</v>
      </c>
      <c r="AO15" s="2" t="str">
        <f t="shared" si="21"/>
        <v>@((((52.3038560460195+2.44852)*3104/65540751.1074742)))</v>
      </c>
    </row>
    <row r="16" spans="1:41" s="2" customFormat="1" ht="13.5" x14ac:dyDescent="0.2">
      <c r="A16" s="2" t="s">
        <v>164</v>
      </c>
      <c r="B16" s="20">
        <v>17</v>
      </c>
      <c r="C16" s="21" t="s">
        <v>48</v>
      </c>
      <c r="D16" s="22">
        <f>VLOOKUP(B16,'[1]Participaciones  Tabla I'!A$5:C$110,3)</f>
        <v>4686</v>
      </c>
      <c r="E16" s="24">
        <f t="shared" si="0"/>
        <v>4.0673164304481082E-3</v>
      </c>
      <c r="F16" s="24">
        <f t="shared" si="1"/>
        <v>2.6030825154867892E-3</v>
      </c>
      <c r="G16" s="25">
        <f>VLOOKUP(C16,'[1]Participaciones  Tabla I'!$B$5:$AC$110,5,FALSE)</f>
        <v>9000</v>
      </c>
      <c r="H16" s="25">
        <f>VLOOKUP(C16,'[1]Participaciones  Tabla I'!$B$5:$AC$110,6,FALSE)</f>
        <v>0</v>
      </c>
      <c r="I16" s="25">
        <f t="shared" si="2"/>
        <v>9000</v>
      </c>
      <c r="J16" s="26">
        <f t="shared" si="3"/>
        <v>6.8335486602992088E-5</v>
      </c>
      <c r="K16" s="26">
        <f t="shared" si="4"/>
        <v>2.2550710578987391E-5</v>
      </c>
      <c r="L16" s="27">
        <f>VLOOKUP(C16,'[1]Participaciones  Tabla I'!$B$5:$AC$110,10,FALSE)</f>
        <v>0</v>
      </c>
      <c r="M16" s="27">
        <f>VLOOKUP(C16,'[1]Participaciones  Tabla I'!$B$5:$AC$110,11,FALSE)</f>
        <v>0</v>
      </c>
      <c r="N16" s="25">
        <f t="shared" si="5"/>
        <v>0</v>
      </c>
      <c r="O16" s="28">
        <f t="shared" si="6"/>
        <v>0</v>
      </c>
      <c r="P16" s="29">
        <f t="shared" si="7"/>
        <v>0</v>
      </c>
      <c r="Q16" s="27">
        <f>VLOOKUP(C16,'[1]Participaciones  Tabla I'!$B$5:$AC$110,15,FALSE)</f>
        <v>0</v>
      </c>
      <c r="R16" s="27">
        <f>VLOOKUP(C16,'[1]Participaciones  Tabla I'!$B$5:$AC$110,16,FALSE)</f>
        <v>0</v>
      </c>
      <c r="S16" s="25">
        <f t="shared" si="8"/>
        <v>0</v>
      </c>
      <c r="T16" s="30">
        <f t="shared" si="9"/>
        <v>0</v>
      </c>
      <c r="U16" s="30">
        <f t="shared" si="10"/>
        <v>0</v>
      </c>
      <c r="V16" s="30">
        <f t="shared" si="11"/>
        <v>2.2550710578987391E-5</v>
      </c>
      <c r="W16" s="31">
        <f t="shared" si="12"/>
        <v>1.0147819760544325E-6</v>
      </c>
      <c r="X16" s="30">
        <f t="shared" si="16"/>
        <v>0</v>
      </c>
      <c r="Y16" s="31">
        <f>VLOOKUP(B16,'[1]Participaciones  Tabla I'!$A$5:$X$110,24,FALSE)</f>
        <v>49.888448401560701</v>
      </c>
      <c r="Z16" s="22">
        <f t="shared" si="17"/>
        <v>9359.0756030657139</v>
      </c>
      <c r="AA16" s="33">
        <f t="shared" si="13"/>
        <v>6.1137318839355782E-3</v>
      </c>
      <c r="AB16" s="33">
        <f t="shared" si="18"/>
        <v>1.5284329709838946E-4</v>
      </c>
      <c r="AC16" s="33">
        <f t="shared" si="19"/>
        <v>3.3750000000000004E-3</v>
      </c>
      <c r="AD16" s="34">
        <f t="shared" si="20"/>
        <v>6.1319405945612334E-3</v>
      </c>
      <c r="AE16" s="59">
        <f>VLOOKUP(B16,[2]coeficientes!$A:$E,5,0)-AD16</f>
        <v>0</v>
      </c>
      <c r="AF16" s="62"/>
      <c r="AG16" s="62"/>
      <c r="AH16" s="2" t="s">
        <v>149</v>
      </c>
      <c r="AI16" s="2" t="s">
        <v>150</v>
      </c>
      <c r="AJ16" s="2">
        <f t="shared" si="14"/>
        <v>49.888448401560701</v>
      </c>
      <c r="AK16" s="2" t="s">
        <v>151</v>
      </c>
      <c r="AL16" s="2" t="s">
        <v>152</v>
      </c>
      <c r="AM16" s="60">
        <f t="shared" si="15"/>
        <v>4686</v>
      </c>
      <c r="AN16" s="61" t="s">
        <v>153</v>
      </c>
      <c r="AO16" s="2" t="str">
        <f t="shared" si="21"/>
        <v>@((((49.8884484015607+2.44852)*4686/65540751.1074742)))</v>
      </c>
    </row>
    <row r="17" spans="1:41" s="2" customFormat="1" ht="13.5" x14ac:dyDescent="0.2">
      <c r="A17" s="2" t="s">
        <v>165</v>
      </c>
      <c r="B17" s="20">
        <v>18</v>
      </c>
      <c r="C17" s="21" t="s">
        <v>49</v>
      </c>
      <c r="D17" s="22">
        <f>VLOOKUP(B17,'[1]Participaciones  Tabla I'!A$5:C$110,3)</f>
        <v>3385</v>
      </c>
      <c r="E17" s="24">
        <f t="shared" si="0"/>
        <v>2.9380849588277517E-3</v>
      </c>
      <c r="F17" s="24">
        <f t="shared" si="1"/>
        <v>1.8803743736497611E-3</v>
      </c>
      <c r="G17" s="25">
        <f>VLOOKUP(C17,'[1]Participaciones  Tabla I'!$B$5:$AC$110,5,FALSE)</f>
        <v>4600</v>
      </c>
      <c r="H17" s="25">
        <f>VLOOKUP(C17,'[1]Participaciones  Tabla I'!$B$5:$AC$110,6,FALSE)</f>
        <v>0</v>
      </c>
      <c r="I17" s="25">
        <f t="shared" si="2"/>
        <v>4600</v>
      </c>
      <c r="J17" s="26">
        <f t="shared" si="3"/>
        <v>3.492702648597374E-5</v>
      </c>
      <c r="K17" s="26">
        <f t="shared" si="4"/>
        <v>1.1525918740371335E-5</v>
      </c>
      <c r="L17" s="27">
        <f>VLOOKUP(C17,'[1]Participaciones  Tabla I'!$B$5:$AC$110,10,FALSE)</f>
        <v>0</v>
      </c>
      <c r="M17" s="27">
        <f>VLOOKUP(C17,'[1]Participaciones  Tabla I'!$B$5:$AC$110,11,FALSE)</f>
        <v>0</v>
      </c>
      <c r="N17" s="25">
        <f t="shared" si="5"/>
        <v>0</v>
      </c>
      <c r="O17" s="28">
        <f t="shared" si="6"/>
        <v>0</v>
      </c>
      <c r="P17" s="29">
        <f t="shared" si="7"/>
        <v>0</v>
      </c>
      <c r="Q17" s="27">
        <f>VLOOKUP(C17,'[1]Participaciones  Tabla I'!$B$5:$AC$110,15,FALSE)</f>
        <v>0</v>
      </c>
      <c r="R17" s="27">
        <f>VLOOKUP(C17,'[1]Participaciones  Tabla I'!$B$5:$AC$110,16,FALSE)</f>
        <v>0</v>
      </c>
      <c r="S17" s="25">
        <f t="shared" si="8"/>
        <v>0</v>
      </c>
      <c r="T17" s="30">
        <f t="shared" si="9"/>
        <v>0</v>
      </c>
      <c r="U17" s="30">
        <f t="shared" si="10"/>
        <v>0</v>
      </c>
      <c r="V17" s="30">
        <f t="shared" si="11"/>
        <v>1.1525918740371335E-5</v>
      </c>
      <c r="W17" s="31">
        <f t="shared" si="12"/>
        <v>5.1866634331671006E-7</v>
      </c>
      <c r="X17" s="30">
        <f t="shared" si="16"/>
        <v>0</v>
      </c>
      <c r="Y17" s="31">
        <f>VLOOKUP(B17,'[1]Participaciones  Tabla I'!$A$5:$X$110,24,FALSE)</f>
        <v>52.576072279621599</v>
      </c>
      <c r="Z17" s="22">
        <f t="shared" si="17"/>
        <v>5436.0523205548143</v>
      </c>
      <c r="AA17" s="33">
        <f t="shared" si="13"/>
        <v>3.5510522411028975E-3</v>
      </c>
      <c r="AB17" s="33">
        <f t="shared" si="18"/>
        <v>8.8776306027572443E-5</v>
      </c>
      <c r="AC17" s="33">
        <f t="shared" si="19"/>
        <v>3.3750000000000004E-3</v>
      </c>
      <c r="AD17" s="34">
        <f t="shared" si="20"/>
        <v>5.3446693460206512E-3</v>
      </c>
      <c r="AE17" s="59">
        <f>VLOOKUP(B17,[2]coeficientes!$A:$E,5,0)-AD17</f>
        <v>0</v>
      </c>
      <c r="AF17" s="62"/>
      <c r="AG17" s="62"/>
      <c r="AH17" s="2" t="s">
        <v>149</v>
      </c>
      <c r="AI17" s="2" t="s">
        <v>150</v>
      </c>
      <c r="AJ17" s="2">
        <f t="shared" si="14"/>
        <v>52.576072279621599</v>
      </c>
      <c r="AK17" s="2" t="s">
        <v>151</v>
      </c>
      <c r="AL17" s="2" t="s">
        <v>152</v>
      </c>
      <c r="AM17" s="60">
        <f t="shared" si="15"/>
        <v>3385</v>
      </c>
      <c r="AN17" s="61" t="s">
        <v>153</v>
      </c>
      <c r="AO17" s="2" t="str">
        <f t="shared" si="21"/>
        <v>@((((52.5760722796216+2.44852)*3385/65540751.1074742)))</v>
      </c>
    </row>
    <row r="18" spans="1:41" s="2" customFormat="1" ht="13.5" x14ac:dyDescent="0.2">
      <c r="A18" s="2" t="s">
        <v>166</v>
      </c>
      <c r="B18" s="20">
        <v>19</v>
      </c>
      <c r="C18" s="21" t="s">
        <v>50</v>
      </c>
      <c r="D18" s="22">
        <f>VLOOKUP(B18,'[1]Participaciones  Tabla I'!A$5:C$110,3)</f>
        <v>38934</v>
      </c>
      <c r="E18" s="24">
        <f t="shared" si="0"/>
        <v>3.3793618844017631E-2</v>
      </c>
      <c r="F18" s="24">
        <f t="shared" si="1"/>
        <v>2.1627916060171285E-2</v>
      </c>
      <c r="G18" s="25">
        <f>VLOOKUP(C18,'[1]Participaciones  Tabla I'!$B$5:$AC$110,5,FALSE)</f>
        <v>31861</v>
      </c>
      <c r="H18" s="25">
        <f>VLOOKUP(C18,'[1]Participaciones  Tabla I'!$B$5:$AC$110,6,FALSE)</f>
        <v>500</v>
      </c>
      <c r="I18" s="25">
        <f t="shared" si="2"/>
        <v>32361</v>
      </c>
      <c r="J18" s="26">
        <f t="shared" si="3"/>
        <v>2.4571163132882523E-4</v>
      </c>
      <c r="K18" s="26">
        <f t="shared" si="4"/>
        <v>8.1084838338512324E-5</v>
      </c>
      <c r="L18" s="27">
        <f>VLOOKUP(C18,'[1]Participaciones  Tabla I'!$B$5:$AC$110,10,FALSE)</f>
        <v>34106</v>
      </c>
      <c r="M18" s="27">
        <f>VLOOKUP(C18,'[1]Participaciones  Tabla I'!$B$5:$AC$110,11,FALSE)</f>
        <v>37700</v>
      </c>
      <c r="N18" s="25">
        <f t="shared" si="5"/>
        <v>71806</v>
      </c>
      <c r="O18" s="28">
        <f t="shared" si="6"/>
        <v>5.5685433911022457E-4</v>
      </c>
      <c r="P18" s="29">
        <f t="shared" si="7"/>
        <v>1.8376193190637412E-4</v>
      </c>
      <c r="Q18" s="27">
        <f>VLOOKUP(C18,'[1]Participaciones  Tabla I'!$B$5:$AC$110,15,FALSE)</f>
        <v>31340</v>
      </c>
      <c r="R18" s="27">
        <f>VLOOKUP(C18,'[1]Participaciones  Tabla I'!$B$5:$AC$110,16,FALSE)</f>
        <v>13200</v>
      </c>
      <c r="S18" s="25">
        <f t="shared" si="8"/>
        <v>44540</v>
      </c>
      <c r="T18" s="30">
        <f t="shared" si="9"/>
        <v>2.7648622564960463E-4</v>
      </c>
      <c r="U18" s="30">
        <f t="shared" si="10"/>
        <v>9.4005316720865577E-5</v>
      </c>
      <c r="V18" s="30">
        <f t="shared" si="11"/>
        <v>3.5885208696575198E-4</v>
      </c>
      <c r="W18" s="31">
        <f t="shared" si="12"/>
        <v>1.614834391345884E-5</v>
      </c>
      <c r="X18" s="30">
        <f t="shared" si="16"/>
        <v>5.529724512992093E-6</v>
      </c>
      <c r="Y18" s="31">
        <f>VLOOKUP(B18,'[1]Participaciones  Tabla I'!$A$5:$X$110,24,FALSE)</f>
        <v>48.7793371874385</v>
      </c>
      <c r="Z18" s="22">
        <f t="shared" si="17"/>
        <v>84047.935633485569</v>
      </c>
      <c r="AA18" s="33">
        <f t="shared" si="13"/>
        <v>5.4903557322807321E-2</v>
      </c>
      <c r="AB18" s="33">
        <f t="shared" si="18"/>
        <v>1.3725889330701831E-3</v>
      </c>
      <c r="AC18" s="33">
        <f t="shared" si="19"/>
        <v>3.3750000000000004E-3</v>
      </c>
      <c r="AD18" s="34">
        <f t="shared" si="20"/>
        <v>2.6397183061667918E-2</v>
      </c>
      <c r="AE18" s="59">
        <f>VLOOKUP(B18,[2]coeficientes!$A:$E,5,0)-AD18</f>
        <v>0</v>
      </c>
      <c r="AF18" s="62"/>
      <c r="AG18" s="62"/>
      <c r="AH18" s="2" t="s">
        <v>149</v>
      </c>
      <c r="AI18" s="2" t="s">
        <v>150</v>
      </c>
      <c r="AJ18" s="2">
        <f t="shared" si="14"/>
        <v>48.7793371874385</v>
      </c>
      <c r="AK18" s="2" t="s">
        <v>151</v>
      </c>
      <c r="AL18" s="2" t="s">
        <v>152</v>
      </c>
      <c r="AM18" s="60">
        <f t="shared" si="15"/>
        <v>38934</v>
      </c>
      <c r="AN18" s="61" t="s">
        <v>153</v>
      </c>
      <c r="AO18" s="2" t="str">
        <f t="shared" si="21"/>
        <v>@((((48.7793371874385+2.44852)*38934/65540751.1074742)))</v>
      </c>
    </row>
    <row r="19" spans="1:41" s="2" customFormat="1" ht="13.5" x14ac:dyDescent="0.2">
      <c r="A19" s="2" t="s">
        <v>167</v>
      </c>
      <c r="B19" s="20">
        <v>20</v>
      </c>
      <c r="C19" s="39" t="s">
        <v>51</v>
      </c>
      <c r="D19" s="22">
        <f>VLOOKUP(B19,'[1]Participaciones  Tabla I'!A$5:C$110,3)</f>
        <v>4497</v>
      </c>
      <c r="E19" s="24">
        <f t="shared" si="0"/>
        <v>3.9032697370305464E-3</v>
      </c>
      <c r="F19" s="24">
        <f t="shared" si="1"/>
        <v>2.4980926316995498E-3</v>
      </c>
      <c r="G19" s="25">
        <f>VLOOKUP(C19,'[1]Participaciones  Tabla I'!$B$5:$AC$110,5,FALSE)</f>
        <v>264386.34000000003</v>
      </c>
      <c r="H19" s="25">
        <f>VLOOKUP(C19,'[1]Participaciones  Tabla I'!$B$5:$AC$110,6,FALSE)</f>
        <v>327538.09999999998</v>
      </c>
      <c r="I19" s="25">
        <f t="shared" si="2"/>
        <v>591924.43999999994</v>
      </c>
      <c r="J19" s="26">
        <f t="shared" si="3"/>
        <v>4.4943827377337325E-3</v>
      </c>
      <c r="K19" s="26">
        <f t="shared" si="4"/>
        <v>1.4831463034521318E-3</v>
      </c>
      <c r="L19" s="27">
        <f>VLOOKUP(C19,'[1]Participaciones  Tabla I'!$B$5:$AC$110,10,FALSE)</f>
        <v>306826.23999999999</v>
      </c>
      <c r="M19" s="27">
        <f>VLOOKUP(C19,'[1]Participaciones  Tabla I'!$B$5:$AC$110,11,FALSE)</f>
        <v>312741</v>
      </c>
      <c r="N19" s="25">
        <f t="shared" si="5"/>
        <v>619567.24</v>
      </c>
      <c r="O19" s="28">
        <f t="shared" si="6"/>
        <v>4.804733670787203E-3</v>
      </c>
      <c r="P19" s="29">
        <f t="shared" si="7"/>
        <v>1.5855621113597771E-3</v>
      </c>
      <c r="Q19" s="27">
        <f>VLOOKUP(C19,'[1]Participaciones  Tabla I'!$B$5:$AC$110,15,FALSE)</f>
        <v>432755.16</v>
      </c>
      <c r="R19" s="27">
        <f>VLOOKUP(C19,'[1]Participaciones  Tabla I'!$B$5:$AC$110,16,FALSE)</f>
        <v>296476.83</v>
      </c>
      <c r="S19" s="25">
        <f t="shared" si="8"/>
        <v>729231.99</v>
      </c>
      <c r="T19" s="30">
        <f t="shared" si="9"/>
        <v>4.5267759438269023E-3</v>
      </c>
      <c r="U19" s="30">
        <f t="shared" si="10"/>
        <v>1.539103820901147E-3</v>
      </c>
      <c r="V19" s="30">
        <f t="shared" si="11"/>
        <v>4.607812235713056E-3</v>
      </c>
      <c r="W19" s="31">
        <f t="shared" si="12"/>
        <v>2.0735155060708753E-4</v>
      </c>
      <c r="X19" s="30">
        <f t="shared" si="16"/>
        <v>9.0535518876538049E-5</v>
      </c>
      <c r="Y19" s="31">
        <f>VLOOKUP(B19,'[1]Participaciones  Tabla I'!$A$5:$X$110,24,FALSE)</f>
        <v>55.688963939236402</v>
      </c>
      <c r="Z19" s="22">
        <f t="shared" si="17"/>
        <v>5183.6327664609616</v>
      </c>
      <c r="AA19" s="33">
        <f t="shared" si="13"/>
        <v>3.3861614397627652E-3</v>
      </c>
      <c r="AB19" s="33">
        <f t="shared" si="18"/>
        <v>8.4654035994069141E-5</v>
      </c>
      <c r="AC19" s="33">
        <f t="shared" si="19"/>
        <v>3.3750000000000004E-3</v>
      </c>
      <c r="AD19" s="34">
        <f t="shared" si="20"/>
        <v>6.2556337371772446E-3</v>
      </c>
      <c r="AE19" s="59">
        <f>VLOOKUP(B19,[2]coeficientes!$A:$E,5,0)-AD19</f>
        <v>0</v>
      </c>
      <c r="AF19" s="62"/>
      <c r="AG19" s="62"/>
      <c r="AH19" s="2" t="s">
        <v>149</v>
      </c>
      <c r="AI19" s="2" t="s">
        <v>150</v>
      </c>
      <c r="AJ19" s="2">
        <f t="shared" si="14"/>
        <v>55.688963939236402</v>
      </c>
      <c r="AK19" s="2" t="s">
        <v>151</v>
      </c>
      <c r="AL19" s="2" t="s">
        <v>152</v>
      </c>
      <c r="AM19" s="60">
        <f t="shared" si="15"/>
        <v>4497</v>
      </c>
      <c r="AN19" s="61" t="s">
        <v>153</v>
      </c>
      <c r="AO19" s="2" t="str">
        <f t="shared" si="21"/>
        <v>@((((55.6889639392364+2.44852)*4497/65540751.1074742)))</v>
      </c>
    </row>
    <row r="20" spans="1:41" s="2" customFormat="1" ht="13.5" x14ac:dyDescent="0.2">
      <c r="A20" s="2" t="s">
        <v>168</v>
      </c>
      <c r="B20" s="20">
        <v>21</v>
      </c>
      <c r="C20" s="21" t="s">
        <v>52</v>
      </c>
      <c r="D20" s="22">
        <f>VLOOKUP(B20,'[1]Participaciones  Tabla I'!A$5:C$110,3)</f>
        <v>9406</v>
      </c>
      <c r="E20" s="24">
        <f t="shared" si="0"/>
        <v>8.16414390627292E-3</v>
      </c>
      <c r="F20" s="24">
        <f t="shared" si="1"/>
        <v>5.2250521000146693E-3</v>
      </c>
      <c r="G20" s="25">
        <f>VLOOKUP(C20,'[1]Participaciones  Tabla I'!$B$5:$AC$110,5,FALSE)</f>
        <v>15078</v>
      </c>
      <c r="H20" s="25">
        <f>VLOOKUP(C20,'[1]Participaciones  Tabla I'!$B$5:$AC$110,6,FALSE)</f>
        <v>3800</v>
      </c>
      <c r="I20" s="25">
        <f t="shared" si="2"/>
        <v>18878</v>
      </c>
      <c r="J20" s="26">
        <f t="shared" si="3"/>
        <v>1.433374795656983E-4</v>
      </c>
      <c r="K20" s="26">
        <f t="shared" si="4"/>
        <v>4.7301368256680439E-5</v>
      </c>
      <c r="L20" s="27">
        <f>VLOOKUP(C20,'[1]Participaciones  Tabla I'!$B$5:$AC$110,10,FALSE)</f>
        <v>7492</v>
      </c>
      <c r="M20" s="27">
        <f>VLOOKUP(C20,'[1]Participaciones  Tabla I'!$B$5:$AC$110,11,FALSE)</f>
        <v>0</v>
      </c>
      <c r="N20" s="25">
        <f t="shared" si="5"/>
        <v>7492</v>
      </c>
      <c r="O20" s="28">
        <f t="shared" si="6"/>
        <v>5.8100335746508682E-5</v>
      </c>
      <c r="P20" s="29">
        <f t="shared" si="7"/>
        <v>1.9173110796347866E-5</v>
      </c>
      <c r="Q20" s="27">
        <f>VLOOKUP(C20,'[1]Participaciones  Tabla I'!$B$5:$AC$110,15,FALSE)</f>
        <v>37901.800000000003</v>
      </c>
      <c r="R20" s="27">
        <f>VLOOKUP(C20,'[1]Participaciones  Tabla I'!$B$5:$AC$110,16,FALSE)</f>
        <v>4460</v>
      </c>
      <c r="S20" s="25">
        <f t="shared" si="8"/>
        <v>42361.8</v>
      </c>
      <c r="T20" s="30">
        <f t="shared" si="9"/>
        <v>2.6296484494215137E-4</v>
      </c>
      <c r="U20" s="30">
        <f t="shared" si="10"/>
        <v>8.9408047280331473E-5</v>
      </c>
      <c r="V20" s="30">
        <f t="shared" si="11"/>
        <v>1.5588252633335977E-4</v>
      </c>
      <c r="W20" s="31">
        <f t="shared" si="12"/>
        <v>7.0147136850011896E-6</v>
      </c>
      <c r="X20" s="30">
        <f t="shared" si="16"/>
        <v>5.2592968988430275E-6</v>
      </c>
      <c r="Y20" s="31">
        <f>VLOOKUP(B20,'[1]Participaciones  Tabla I'!$A$5:$X$110,24,FALSE)</f>
        <v>50.171329232292102</v>
      </c>
      <c r="Z20" s="22">
        <f t="shared" si="17"/>
        <v>18398.648286298398</v>
      </c>
      <c r="AA20" s="33">
        <f t="shared" si="13"/>
        <v>1.2018751361770509E-2</v>
      </c>
      <c r="AB20" s="33">
        <f t="shared" si="18"/>
        <v>3.0046878404426275E-4</v>
      </c>
      <c r="AC20" s="33">
        <f t="shared" si="19"/>
        <v>3.3750000000000004E-3</v>
      </c>
      <c r="AD20" s="34">
        <f t="shared" si="20"/>
        <v>8.9127948946427765E-3</v>
      </c>
      <c r="AE20" s="59">
        <f>VLOOKUP(B20,[2]coeficientes!$A:$E,5,0)-AD20</f>
        <v>0</v>
      </c>
      <c r="AF20" s="62"/>
      <c r="AG20" s="62"/>
      <c r="AH20" s="2" t="s">
        <v>149</v>
      </c>
      <c r="AI20" s="2" t="s">
        <v>150</v>
      </c>
      <c r="AJ20" s="2">
        <f t="shared" si="14"/>
        <v>50.171329232292102</v>
      </c>
      <c r="AK20" s="2" t="s">
        <v>151</v>
      </c>
      <c r="AL20" s="2" t="s">
        <v>152</v>
      </c>
      <c r="AM20" s="60">
        <f t="shared" si="15"/>
        <v>9406</v>
      </c>
      <c r="AN20" s="61" t="s">
        <v>153</v>
      </c>
      <c r="AO20" s="2" t="str">
        <f t="shared" si="21"/>
        <v>@((((50.1713292322921+2.44852)*9406/65540751.1074742)))</v>
      </c>
    </row>
    <row r="21" spans="1:41" s="2" customFormat="1" ht="13.5" x14ac:dyDescent="0.2">
      <c r="A21" s="2" t="s">
        <v>169</v>
      </c>
      <c r="B21" s="20">
        <v>23</v>
      </c>
      <c r="C21" s="21" t="s">
        <v>54</v>
      </c>
      <c r="D21" s="22">
        <f>VLOOKUP(B21,'[1]Participaciones  Tabla I'!A$5:C$110,3)</f>
        <v>4863</v>
      </c>
      <c r="E21" s="24">
        <f t="shared" si="0"/>
        <v>4.2209474607915387E-3</v>
      </c>
      <c r="F21" s="24">
        <f t="shared" si="1"/>
        <v>2.7014063749065849E-3</v>
      </c>
      <c r="G21" s="25">
        <f>VLOOKUP(C21,'[1]Participaciones  Tabla I'!$B$5:$AC$110,5,FALSE)</f>
        <v>105261.8</v>
      </c>
      <c r="H21" s="25">
        <f>VLOOKUP(C21,'[1]Participaciones  Tabla I'!$B$5:$AC$110,6,FALSE)</f>
        <v>16020</v>
      </c>
      <c r="I21" s="25">
        <f t="shared" si="2"/>
        <v>121281.8</v>
      </c>
      <c r="J21" s="26">
        <f t="shared" si="3"/>
        <v>9.2087231323186296E-4</v>
      </c>
      <c r="K21" s="26">
        <f t="shared" si="4"/>
        <v>3.0388786336651481E-4</v>
      </c>
      <c r="L21" s="27">
        <f>VLOOKUP(C21,'[1]Participaciones  Tabla I'!$B$5:$AC$110,10,FALSE)</f>
        <v>67210.59</v>
      </c>
      <c r="M21" s="27">
        <f>VLOOKUP(C21,'[1]Participaciones  Tabla I'!$B$5:$AC$110,11,FALSE)</f>
        <v>5350</v>
      </c>
      <c r="N21" s="25">
        <f t="shared" si="5"/>
        <v>72560.59</v>
      </c>
      <c r="O21" s="28">
        <f t="shared" si="6"/>
        <v>5.6270617204548317E-4</v>
      </c>
      <c r="P21" s="29">
        <f t="shared" si="7"/>
        <v>1.8569303677500946E-4</v>
      </c>
      <c r="Q21" s="27">
        <f>VLOOKUP(C21,'[1]Participaciones  Tabla I'!$B$5:$AC$110,15,FALSE)</f>
        <v>59091.25</v>
      </c>
      <c r="R21" s="27">
        <f>VLOOKUP(C21,'[1]Participaciones  Tabla I'!$B$5:$AC$110,16,FALSE)</f>
        <v>3735</v>
      </c>
      <c r="S21" s="25">
        <f t="shared" si="8"/>
        <v>62826.25</v>
      </c>
      <c r="T21" s="30">
        <f t="shared" si="9"/>
        <v>3.8999983687064378E-4</v>
      </c>
      <c r="U21" s="30">
        <f t="shared" si="10"/>
        <v>1.3259994453601891E-4</v>
      </c>
      <c r="V21" s="30">
        <f t="shared" si="11"/>
        <v>6.2218084467754314E-4</v>
      </c>
      <c r="W21" s="31">
        <f t="shared" si="12"/>
        <v>2.7998138010489442E-5</v>
      </c>
      <c r="X21" s="30">
        <f t="shared" si="16"/>
        <v>7.7999967374128762E-6</v>
      </c>
      <c r="Y21" s="31">
        <f>VLOOKUP(B21,'[1]Participaciones  Tabla I'!$A$5:$X$110,24,FALSE)</f>
        <v>54.827067853042699</v>
      </c>
      <c r="Z21" s="22">
        <f t="shared" si="17"/>
        <v>6215.7840908631242</v>
      </c>
      <c r="AA21" s="33">
        <f t="shared" si="13"/>
        <v>4.0604050006307632E-3</v>
      </c>
      <c r="AB21" s="33">
        <f t="shared" si="18"/>
        <v>1.0151012501576908E-4</v>
      </c>
      <c r="AC21" s="33">
        <f t="shared" si="19"/>
        <v>3.3750000000000004E-3</v>
      </c>
      <c r="AD21" s="34">
        <f t="shared" si="20"/>
        <v>6.213714634670256E-3</v>
      </c>
      <c r="AE21" s="59">
        <f>VLOOKUP(B21,[2]coeficientes!$A:$E,5,0)-AD21</f>
        <v>0</v>
      </c>
      <c r="AF21" s="62"/>
      <c r="AG21" s="62"/>
      <c r="AH21" s="2" t="s">
        <v>149</v>
      </c>
      <c r="AI21" s="2" t="s">
        <v>150</v>
      </c>
      <c r="AJ21" s="2">
        <f t="shared" si="14"/>
        <v>54.827067853042699</v>
      </c>
      <c r="AK21" s="2" t="s">
        <v>151</v>
      </c>
      <c r="AL21" s="2" t="s">
        <v>152</v>
      </c>
      <c r="AM21" s="60">
        <f t="shared" si="15"/>
        <v>4863</v>
      </c>
      <c r="AN21" s="61" t="s">
        <v>153</v>
      </c>
      <c r="AO21" s="2" t="str">
        <f t="shared" si="21"/>
        <v>@((((54.8270678530427+2.44852)*4863/65540751.1074742)))</v>
      </c>
    </row>
    <row r="22" spans="1:41" s="2" customFormat="1" ht="13.5" x14ac:dyDescent="0.2">
      <c r="A22" s="2" t="s">
        <v>170</v>
      </c>
      <c r="B22" s="20">
        <v>24</v>
      </c>
      <c r="C22" s="21" t="s">
        <v>55</v>
      </c>
      <c r="D22" s="22">
        <f>VLOOKUP(B22,'[1]Participaciones  Tabla I'!A$5:C$110,3)</f>
        <v>3244</v>
      </c>
      <c r="E22" s="24">
        <f t="shared" si="0"/>
        <v>2.815700917706714E-3</v>
      </c>
      <c r="F22" s="24">
        <f t="shared" si="1"/>
        <v>1.8020485873322971E-3</v>
      </c>
      <c r="G22" s="25">
        <f>VLOOKUP(C22,'[1]Participaciones  Tabla I'!$B$5:$AC$110,5,FALSE)</f>
        <v>1150</v>
      </c>
      <c r="H22" s="25">
        <f>VLOOKUP(C22,'[1]Participaciones  Tabla I'!$B$5:$AC$110,6,FALSE)</f>
        <v>0</v>
      </c>
      <c r="I22" s="25">
        <f t="shared" si="2"/>
        <v>1150</v>
      </c>
      <c r="J22" s="26">
        <f t="shared" si="3"/>
        <v>8.7317566214934349E-6</v>
      </c>
      <c r="K22" s="26">
        <f t="shared" si="4"/>
        <v>2.8814796850928337E-6</v>
      </c>
      <c r="L22" s="27">
        <f>VLOOKUP(C22,'[1]Participaciones  Tabla I'!$B$5:$AC$110,10,FALSE)</f>
        <v>5750</v>
      </c>
      <c r="M22" s="27">
        <f>VLOOKUP(C22,'[1]Participaciones  Tabla I'!$B$5:$AC$110,11,FALSE)</f>
        <v>0</v>
      </c>
      <c r="N22" s="25">
        <f t="shared" si="5"/>
        <v>5750</v>
      </c>
      <c r="O22" s="28">
        <f t="shared" si="6"/>
        <v>4.4591154637269746E-5</v>
      </c>
      <c r="P22" s="29">
        <f t="shared" si="7"/>
        <v>1.4715081030299016E-5</v>
      </c>
      <c r="Q22" s="27">
        <f>VLOOKUP(C22,'[1]Participaciones  Tabla I'!$B$5:$AC$110,15,FALSE)</f>
        <v>3900</v>
      </c>
      <c r="R22" s="27">
        <f>VLOOKUP(C22,'[1]Participaciones  Tabla I'!$B$5:$AC$110,16,FALSE)</f>
        <v>0</v>
      </c>
      <c r="S22" s="25">
        <f t="shared" si="8"/>
        <v>3900</v>
      </c>
      <c r="T22" s="30">
        <f t="shared" si="9"/>
        <v>2.4209615627154426E-5</v>
      </c>
      <c r="U22" s="30">
        <f t="shared" si="10"/>
        <v>8.2312693132325049E-6</v>
      </c>
      <c r="V22" s="30">
        <f t="shared" si="11"/>
        <v>2.5827830028624356E-5</v>
      </c>
      <c r="W22" s="31">
        <f t="shared" si="12"/>
        <v>1.1622523512880959E-6</v>
      </c>
      <c r="X22" s="30">
        <f t="shared" si="16"/>
        <v>4.8419231254308853E-7</v>
      </c>
      <c r="Y22" s="31">
        <f>VLOOKUP(B22,'[1]Participaciones  Tabla I'!$A$5:$X$110,24,FALSE)</f>
        <v>51.226445609730597</v>
      </c>
      <c r="Z22" s="22">
        <f t="shared" si="17"/>
        <v>5847.0813603601373</v>
      </c>
      <c r="AA22" s="33">
        <f t="shared" si="13"/>
        <v>3.8195532611243707E-3</v>
      </c>
      <c r="AB22" s="33">
        <f t="shared" si="18"/>
        <v>9.5488831528109272E-5</v>
      </c>
      <c r="AC22" s="33">
        <f t="shared" si="19"/>
        <v>3.3750000000000004E-3</v>
      </c>
      <c r="AD22" s="34">
        <f t="shared" si="20"/>
        <v>5.2741838635242382E-3</v>
      </c>
      <c r="AE22" s="59">
        <f>VLOOKUP(B22,[2]coeficientes!$A:$E,5,0)-AD22</f>
        <v>0</v>
      </c>
      <c r="AF22" s="62"/>
      <c r="AG22" s="62"/>
      <c r="AH22" s="2" t="s">
        <v>149</v>
      </c>
      <c r="AI22" s="2" t="s">
        <v>150</v>
      </c>
      <c r="AJ22" s="2">
        <f t="shared" si="14"/>
        <v>51.226445609730597</v>
      </c>
      <c r="AK22" s="2" t="s">
        <v>151</v>
      </c>
      <c r="AL22" s="2" t="s">
        <v>152</v>
      </c>
      <c r="AM22" s="60">
        <f t="shared" si="15"/>
        <v>3244</v>
      </c>
      <c r="AN22" s="61" t="s">
        <v>153</v>
      </c>
      <c r="AO22" s="2" t="str">
        <f t="shared" si="21"/>
        <v>@((((51.2264456097306+2.44852)*3244/65540751.1074742)))</v>
      </c>
    </row>
    <row r="23" spans="1:41" s="2" customFormat="1" ht="13.5" x14ac:dyDescent="0.2">
      <c r="A23" s="2" t="s">
        <v>171</v>
      </c>
      <c r="B23" s="20">
        <v>25</v>
      </c>
      <c r="C23" s="21" t="s">
        <v>56</v>
      </c>
      <c r="D23" s="22">
        <f>VLOOKUP(B23,'[1]Participaciones  Tabla I'!A$5:C$110,3)</f>
        <v>6003</v>
      </c>
      <c r="E23" s="24">
        <f t="shared" si="0"/>
        <v>5.2104354528339719E-3</v>
      </c>
      <c r="F23" s="24">
        <f t="shared" si="1"/>
        <v>3.3346786898137419E-3</v>
      </c>
      <c r="G23" s="25">
        <f>VLOOKUP(C23,'[1]Participaciones  Tabla I'!$B$5:$AC$110,5,FALSE)</f>
        <v>7190</v>
      </c>
      <c r="H23" s="25">
        <f>VLOOKUP(C23,'[1]Participaciones  Tabla I'!$B$5:$AC$110,6,FALSE)</f>
        <v>14311</v>
      </c>
      <c r="I23" s="25">
        <f t="shared" si="2"/>
        <v>21501</v>
      </c>
      <c r="J23" s="26">
        <f t="shared" si="3"/>
        <v>1.6325347749454811E-4</v>
      </c>
      <c r="K23" s="26">
        <f t="shared" si="4"/>
        <v>5.3873647573200877E-5</v>
      </c>
      <c r="L23" s="27">
        <f>VLOOKUP(C23,'[1]Participaciones  Tabla I'!$B$5:$AC$110,10,FALSE)</f>
        <v>8330</v>
      </c>
      <c r="M23" s="27">
        <f>VLOOKUP(C23,'[1]Participaciones  Tabla I'!$B$5:$AC$110,11,FALSE)</f>
        <v>7310</v>
      </c>
      <c r="N23" s="25">
        <f t="shared" si="5"/>
        <v>15640</v>
      </c>
      <c r="O23" s="28">
        <f t="shared" si="6"/>
        <v>1.2128794061337371E-4</v>
      </c>
      <c r="P23" s="29">
        <f t="shared" si="7"/>
        <v>4.0025020402413324E-5</v>
      </c>
      <c r="Q23" s="27">
        <f>VLOOKUP(C23,'[1]Participaciones  Tabla I'!$B$5:$AC$110,15,FALSE)</f>
        <v>10850.04</v>
      </c>
      <c r="R23" s="27">
        <f>VLOOKUP(C23,'[1]Participaciones  Tabla I'!$B$5:$AC$110,16,FALSE)</f>
        <v>2760</v>
      </c>
      <c r="S23" s="25">
        <f t="shared" si="8"/>
        <v>13610.04</v>
      </c>
      <c r="T23" s="30">
        <f t="shared" si="9"/>
        <v>8.448559924876842E-5</v>
      </c>
      <c r="U23" s="30">
        <f t="shared" si="10"/>
        <v>2.8725103744581265E-5</v>
      </c>
      <c r="V23" s="30">
        <f t="shared" si="11"/>
        <v>1.2262377172019546E-4</v>
      </c>
      <c r="W23" s="31">
        <f t="shared" si="12"/>
        <v>5.5180697274087956E-6</v>
      </c>
      <c r="X23" s="30">
        <f t="shared" si="16"/>
        <v>1.6897119849753683E-6</v>
      </c>
      <c r="Y23" s="31">
        <f>VLOOKUP(B23,'[1]Participaciones  Tabla I'!$A$5:$X$110,24,FALSE)</f>
        <v>54.958322962571401</v>
      </c>
      <c r="Z23" s="22">
        <f t="shared" si="17"/>
        <v>7558.1862644275643</v>
      </c>
      <c r="AA23" s="33">
        <f t="shared" si="13"/>
        <v>4.9373171357242097E-3</v>
      </c>
      <c r="AB23" s="33">
        <f t="shared" si="18"/>
        <v>1.2343292839310524E-4</v>
      </c>
      <c r="AC23" s="33">
        <f t="shared" si="19"/>
        <v>3.3750000000000004E-3</v>
      </c>
      <c r="AD23" s="34">
        <f t="shared" si="20"/>
        <v>6.8403193999192315E-3</v>
      </c>
      <c r="AE23" s="59">
        <f>VLOOKUP(B23,[2]coeficientes!$A:$E,5,0)-AD23</f>
        <v>0</v>
      </c>
      <c r="AF23" s="62"/>
      <c r="AG23" s="62"/>
      <c r="AH23" s="2" t="s">
        <v>149</v>
      </c>
      <c r="AI23" s="2" t="s">
        <v>150</v>
      </c>
      <c r="AJ23" s="2">
        <f t="shared" si="14"/>
        <v>54.958322962571401</v>
      </c>
      <c r="AK23" s="2" t="s">
        <v>151</v>
      </c>
      <c r="AL23" s="2" t="s">
        <v>152</v>
      </c>
      <c r="AM23" s="60">
        <f t="shared" si="15"/>
        <v>6003</v>
      </c>
      <c r="AN23" s="61" t="s">
        <v>153</v>
      </c>
      <c r="AO23" s="2" t="str">
        <f t="shared" si="21"/>
        <v>@((((54.9583229625714+2.44852)*6003/65540751.1074742)))</v>
      </c>
    </row>
    <row r="24" spans="1:41" s="2" customFormat="1" ht="13.5" x14ac:dyDescent="0.2">
      <c r="A24" s="2" t="s">
        <v>172</v>
      </c>
      <c r="B24" s="20">
        <v>26</v>
      </c>
      <c r="C24" s="39" t="s">
        <v>57</v>
      </c>
      <c r="D24" s="22">
        <f>VLOOKUP(B24,'[1]Participaciones  Tabla I'!A$5:C$110,3)</f>
        <v>3622</v>
      </c>
      <c r="E24" s="24">
        <f t="shared" si="0"/>
        <v>3.1437943045418367E-3</v>
      </c>
      <c r="F24" s="24">
        <f t="shared" si="1"/>
        <v>2.0120283549067757E-3</v>
      </c>
      <c r="G24" s="25">
        <f>VLOOKUP(C24,'[1]Participaciones  Tabla I'!$B$5:$AC$110,5,FALSE)</f>
        <v>1195367.3999999999</v>
      </c>
      <c r="H24" s="25">
        <f>VLOOKUP(C24,'[1]Participaciones  Tabla I'!$B$5:$AC$110,6,FALSE)</f>
        <v>0</v>
      </c>
      <c r="I24" s="25">
        <f t="shared" si="2"/>
        <v>1195367.3999999999</v>
      </c>
      <c r="J24" s="26">
        <f t="shared" si="3"/>
        <v>9.0762236609281642E-3</v>
      </c>
      <c r="K24" s="26">
        <f t="shared" si="4"/>
        <v>2.9951538081062945E-3</v>
      </c>
      <c r="L24" s="27">
        <f>VLOOKUP(C24,'[1]Participaciones  Tabla I'!$B$5:$AC$110,10,FALSE)</f>
        <v>1511205.98</v>
      </c>
      <c r="M24" s="27">
        <f>VLOOKUP(C24,'[1]Participaciones  Tabla I'!$B$5:$AC$110,11,FALSE)</f>
        <v>0</v>
      </c>
      <c r="N24" s="25">
        <f t="shared" si="5"/>
        <v>1511205.98</v>
      </c>
      <c r="O24" s="28">
        <f t="shared" si="6"/>
        <v>1.1719377311816829E-2</v>
      </c>
      <c r="P24" s="29">
        <f t="shared" si="7"/>
        <v>3.8673945128995537E-3</v>
      </c>
      <c r="Q24" s="27">
        <f>VLOOKUP(C24,'[1]Participaciones  Tabla I'!$B$5:$AC$110,15,FALSE)</f>
        <v>4932175.8899999997</v>
      </c>
      <c r="R24" s="27">
        <f>VLOOKUP(C24,'[1]Participaciones  Tabla I'!$B$5:$AC$110,16,FALSE)</f>
        <v>0</v>
      </c>
      <c r="S24" s="25">
        <f t="shared" si="8"/>
        <v>4932175.8899999997</v>
      </c>
      <c r="T24" s="30">
        <f t="shared" si="9"/>
        <v>3.06169442313893E-2</v>
      </c>
      <c r="U24" s="30">
        <f t="shared" si="10"/>
        <v>1.0409761038672362E-2</v>
      </c>
      <c r="V24" s="30">
        <f t="shared" si="11"/>
        <v>1.727230935967821E-2</v>
      </c>
      <c r="W24" s="31">
        <f t="shared" si="12"/>
        <v>7.7725392118551946E-4</v>
      </c>
      <c r="X24" s="30">
        <f t="shared" si="16"/>
        <v>6.1233888462778599E-4</v>
      </c>
      <c r="Y24" s="31">
        <f>VLOOKUP(B24,'[1]Participaciones  Tabla I'!$A$5:$X$110,24,FALSE)</f>
        <v>55.088869679474499</v>
      </c>
      <c r="Z24" s="22">
        <f t="shared" si="17"/>
        <v>4491.4994014493486</v>
      </c>
      <c r="AA24" s="33">
        <f t="shared" si="13"/>
        <v>2.9340315499025937E-3</v>
      </c>
      <c r="AB24" s="33">
        <f t="shared" si="18"/>
        <v>7.3350788747564841E-5</v>
      </c>
      <c r="AC24" s="33">
        <f t="shared" si="19"/>
        <v>3.3750000000000004E-3</v>
      </c>
      <c r="AD24" s="34">
        <f t="shared" si="20"/>
        <v>6.8499719494676467E-3</v>
      </c>
      <c r="AE24" s="59">
        <f>VLOOKUP(B24,[2]coeficientes!$A:$E,5,0)-AD24</f>
        <v>0</v>
      </c>
      <c r="AF24" s="62"/>
      <c r="AG24" s="62"/>
      <c r="AH24" s="2" t="s">
        <v>149</v>
      </c>
      <c r="AI24" s="2" t="s">
        <v>150</v>
      </c>
      <c r="AJ24" s="2">
        <f t="shared" si="14"/>
        <v>55.088869679474499</v>
      </c>
      <c r="AK24" s="2" t="s">
        <v>151</v>
      </c>
      <c r="AL24" s="2" t="s">
        <v>152</v>
      </c>
      <c r="AM24" s="60">
        <f t="shared" si="15"/>
        <v>3622</v>
      </c>
      <c r="AN24" s="61" t="s">
        <v>153</v>
      </c>
      <c r="AO24" s="2" t="str">
        <f t="shared" si="21"/>
        <v>@((((55.0888696794745+2.44852)*3622/65540751.1074742)))</v>
      </c>
    </row>
    <row r="25" spans="1:41" s="2" customFormat="1" ht="13.5" x14ac:dyDescent="0.2">
      <c r="A25" s="2" t="s">
        <v>173</v>
      </c>
      <c r="B25" s="20">
        <v>27</v>
      </c>
      <c r="C25" s="21" t="s">
        <v>58</v>
      </c>
      <c r="D25" s="22">
        <f>VLOOKUP(B25,'[1]Participaciones  Tabla I'!A$5:C$110,3)</f>
        <v>8345</v>
      </c>
      <c r="E25" s="24">
        <f t="shared" si="0"/>
        <v>7.2432256961351815E-3</v>
      </c>
      <c r="F25" s="24">
        <f t="shared" si="1"/>
        <v>4.6356644455265161E-3</v>
      </c>
      <c r="G25" s="25">
        <f>VLOOKUP(C25,'[1]Participaciones  Tabla I'!$B$5:$AC$110,5,FALSE)</f>
        <v>1112505</v>
      </c>
      <c r="H25" s="25">
        <f>VLOOKUP(C25,'[1]Participaciones  Tabla I'!$B$5:$AC$110,6,FALSE)</f>
        <v>7333</v>
      </c>
      <c r="I25" s="25">
        <f t="shared" si="2"/>
        <v>1119838</v>
      </c>
      <c r="J25" s="26">
        <f t="shared" si="3"/>
        <v>8.5027416273912738E-3</v>
      </c>
      <c r="K25" s="26">
        <f t="shared" si="4"/>
        <v>2.8059047370391204E-3</v>
      </c>
      <c r="L25" s="27">
        <f>VLOOKUP(C25,'[1]Participaciones  Tabla I'!$B$5:$AC$110,10,FALSE)</f>
        <v>909097.5</v>
      </c>
      <c r="M25" s="27">
        <f>VLOOKUP(C25,'[1]Participaciones  Tabla I'!$B$5:$AC$110,11,FALSE)</f>
        <v>38700</v>
      </c>
      <c r="N25" s="25">
        <f t="shared" si="5"/>
        <v>947797.5</v>
      </c>
      <c r="O25" s="28">
        <f t="shared" si="6"/>
        <v>7.3501538934465519E-3</v>
      </c>
      <c r="P25" s="29">
        <f t="shared" si="7"/>
        <v>2.425550784837362E-3</v>
      </c>
      <c r="Q25" s="27">
        <f>VLOOKUP(C25,'[1]Participaciones  Tabla I'!$B$5:$AC$110,15,FALSE)</f>
        <v>1365392.4</v>
      </c>
      <c r="R25" s="27">
        <f>VLOOKUP(C25,'[1]Participaciones  Tabla I'!$B$5:$AC$110,16,FALSE)</f>
        <v>19050</v>
      </c>
      <c r="S25" s="25">
        <f t="shared" si="8"/>
        <v>1384442.4</v>
      </c>
      <c r="T25" s="30">
        <f t="shared" si="9"/>
        <v>8.5940559902397892E-3</v>
      </c>
      <c r="U25" s="30">
        <f t="shared" si="10"/>
        <v>2.9219790366815284E-3</v>
      </c>
      <c r="V25" s="30">
        <f t="shared" si="11"/>
        <v>8.1534345585580099E-3</v>
      </c>
      <c r="W25" s="31">
        <f t="shared" si="12"/>
        <v>3.6690455513511044E-4</v>
      </c>
      <c r="X25" s="30">
        <f t="shared" si="16"/>
        <v>1.7188111980479578E-4</v>
      </c>
      <c r="Y25" s="31">
        <f>VLOOKUP(B25,'[1]Participaciones  Tabla I'!$A$5:$X$110,24,FALSE)</f>
        <v>56.710971441663801</v>
      </c>
      <c r="Z25" s="22">
        <f t="shared" si="17"/>
        <v>8377.3999472923424</v>
      </c>
      <c r="AA25" s="33">
        <f t="shared" si="13"/>
        <v>5.4724610991992014E-3</v>
      </c>
      <c r="AB25" s="33">
        <f t="shared" si="18"/>
        <v>1.3681152747998005E-4</v>
      </c>
      <c r="AC25" s="33">
        <f t="shared" si="19"/>
        <v>3.3750000000000004E-3</v>
      </c>
      <c r="AD25" s="34">
        <f t="shared" si="20"/>
        <v>8.6862616479464021E-3</v>
      </c>
      <c r="AE25" s="59">
        <f>VLOOKUP(B25,[2]coeficientes!$A:$E,5,0)-AD25</f>
        <v>0</v>
      </c>
      <c r="AF25" s="62"/>
      <c r="AG25" s="62"/>
      <c r="AH25" s="2" t="s">
        <v>149</v>
      </c>
      <c r="AI25" s="2" t="s">
        <v>150</v>
      </c>
      <c r="AJ25" s="2">
        <f t="shared" si="14"/>
        <v>56.710971441663801</v>
      </c>
      <c r="AK25" s="2" t="s">
        <v>151</v>
      </c>
      <c r="AL25" s="2" t="s">
        <v>152</v>
      </c>
      <c r="AM25" s="60">
        <f t="shared" si="15"/>
        <v>8345</v>
      </c>
      <c r="AN25" s="61" t="s">
        <v>153</v>
      </c>
      <c r="AO25" s="2" t="str">
        <f t="shared" si="21"/>
        <v>@((((56.7109714416638+2.44852)*8345/65540751.1074742)))</v>
      </c>
    </row>
    <row r="26" spans="1:41" s="2" customFormat="1" ht="13.5" x14ac:dyDescent="0.2">
      <c r="A26" s="2" t="s">
        <v>174</v>
      </c>
      <c r="B26" s="20">
        <v>28</v>
      </c>
      <c r="C26" s="21" t="s">
        <v>59</v>
      </c>
      <c r="D26" s="22">
        <f>VLOOKUP(B26,'[1]Participaciones  Tabla I'!A$5:C$110,3)</f>
        <v>2936</v>
      </c>
      <c r="E26" s="24">
        <f t="shared" si="0"/>
        <v>2.548365565470688E-3</v>
      </c>
      <c r="F26" s="24">
        <f t="shared" si="1"/>
        <v>1.6309539619012404E-3</v>
      </c>
      <c r="G26" s="25">
        <f>VLOOKUP(C26,'[1]Participaciones  Tabla I'!$B$5:$AC$110,5,FALSE)</f>
        <v>85247.5</v>
      </c>
      <c r="H26" s="25">
        <f>VLOOKUP(C26,'[1]Participaciones  Tabla I'!$B$5:$AC$110,6,FALSE)</f>
        <v>3030</v>
      </c>
      <c r="I26" s="25">
        <f t="shared" si="2"/>
        <v>88277.5</v>
      </c>
      <c r="J26" s="26">
        <f t="shared" si="3"/>
        <v>6.7027621317729269E-4</v>
      </c>
      <c r="K26" s="26">
        <f t="shared" si="4"/>
        <v>2.211911503485066E-4</v>
      </c>
      <c r="L26" s="27">
        <f>VLOOKUP(C26,'[1]Participaciones  Tabla I'!$B$5:$AC$110,10,FALSE)</f>
        <v>0</v>
      </c>
      <c r="M26" s="27">
        <f>VLOOKUP(C26,'[1]Participaciones  Tabla I'!$B$5:$AC$110,11,FALSE)</f>
        <v>0</v>
      </c>
      <c r="N26" s="25">
        <f t="shared" si="5"/>
        <v>0</v>
      </c>
      <c r="O26" s="28">
        <f t="shared" si="6"/>
        <v>0</v>
      </c>
      <c r="P26" s="29">
        <f t="shared" si="7"/>
        <v>0</v>
      </c>
      <c r="Q26" s="27">
        <f>VLOOKUP(C26,'[1]Participaciones  Tabla I'!$B$5:$AC$110,15,FALSE)</f>
        <v>0</v>
      </c>
      <c r="R26" s="27">
        <f>VLOOKUP(C26,'[1]Participaciones  Tabla I'!$B$5:$AC$110,16,FALSE)</f>
        <v>5885.5</v>
      </c>
      <c r="S26" s="25">
        <f t="shared" si="8"/>
        <v>5885.5</v>
      </c>
      <c r="T26" s="30">
        <f t="shared" si="9"/>
        <v>3.6534793018876247E-5</v>
      </c>
      <c r="U26" s="30">
        <f t="shared" si="10"/>
        <v>1.2421829626417925E-5</v>
      </c>
      <c r="V26" s="30">
        <f t="shared" si="11"/>
        <v>2.3361297997492452E-4</v>
      </c>
      <c r="W26" s="31">
        <f t="shared" si="12"/>
        <v>1.0512584098871602E-5</v>
      </c>
      <c r="X26" s="30">
        <f t="shared" si="16"/>
        <v>7.3069586037752498E-7</v>
      </c>
      <c r="Y26" s="31">
        <f>VLOOKUP(B26,'[1]Participaciones  Tabla I'!$A$5:$X$110,24,FALSE)</f>
        <v>54.903949457612498</v>
      </c>
      <c r="Z26" s="22">
        <f t="shared" si="17"/>
        <v>3719.8678395406741</v>
      </c>
      <c r="AA26" s="33">
        <f t="shared" si="13"/>
        <v>2.429970178590798E-3</v>
      </c>
      <c r="AB26" s="33">
        <f t="shared" si="18"/>
        <v>6.0749254464769952E-5</v>
      </c>
      <c r="AC26" s="33">
        <f t="shared" si="19"/>
        <v>3.3750000000000004E-3</v>
      </c>
      <c r="AD26" s="34">
        <f t="shared" si="20"/>
        <v>5.0779464963252603E-3</v>
      </c>
      <c r="AE26" s="59">
        <f>VLOOKUP(B26,[2]coeficientes!$A:$E,5,0)-AD26</f>
        <v>0</v>
      </c>
      <c r="AF26" s="62"/>
      <c r="AG26" s="62"/>
      <c r="AH26" s="2" t="s">
        <v>149</v>
      </c>
      <c r="AI26" s="2" t="s">
        <v>150</v>
      </c>
      <c r="AJ26" s="2">
        <f t="shared" si="14"/>
        <v>54.903949457612498</v>
      </c>
      <c r="AK26" s="2" t="s">
        <v>151</v>
      </c>
      <c r="AL26" s="2" t="s">
        <v>152</v>
      </c>
      <c r="AM26" s="60">
        <f t="shared" si="15"/>
        <v>2936</v>
      </c>
      <c r="AN26" s="61" t="s">
        <v>153</v>
      </c>
      <c r="AO26" s="2" t="str">
        <f t="shared" si="21"/>
        <v>@((((54.9039494576125+2.44852)*2936/65540751.1074742)))</v>
      </c>
    </row>
    <row r="27" spans="1:41" s="2" customFormat="1" ht="13.5" x14ac:dyDescent="0.2">
      <c r="A27" s="2" t="s">
        <v>175</v>
      </c>
      <c r="B27" s="20">
        <v>29</v>
      </c>
      <c r="C27" s="21" t="s">
        <v>60</v>
      </c>
      <c r="D27" s="22">
        <f>VLOOKUP(B27,'[1]Participaciones  Tabla I'!A$5:C$110,3)</f>
        <v>6240</v>
      </c>
      <c r="E27" s="24">
        <f t="shared" si="0"/>
        <v>5.4161447985480561E-3</v>
      </c>
      <c r="F27" s="24">
        <f t="shared" si="1"/>
        <v>3.4663326710707562E-3</v>
      </c>
      <c r="G27" s="25">
        <f>VLOOKUP(C27,'[1]Participaciones  Tabla I'!$B$5:$AC$110,5,FALSE)</f>
        <v>0</v>
      </c>
      <c r="H27" s="25">
        <f>VLOOKUP(C27,'[1]Participaciones  Tabla I'!$B$5:$AC$110,6,FALSE)</f>
        <v>0</v>
      </c>
      <c r="I27" s="25">
        <f t="shared" si="2"/>
        <v>0</v>
      </c>
      <c r="J27" s="26">
        <f t="shared" si="3"/>
        <v>0</v>
      </c>
      <c r="K27" s="26">
        <f t="shared" si="4"/>
        <v>0</v>
      </c>
      <c r="L27" s="27">
        <f>VLOOKUP(C27,'[1]Participaciones  Tabla I'!$B$5:$AC$110,10,FALSE)</f>
        <v>0</v>
      </c>
      <c r="M27" s="27">
        <f>VLOOKUP(C27,'[1]Participaciones  Tabla I'!$B$5:$AC$110,11,FALSE)</f>
        <v>0</v>
      </c>
      <c r="N27" s="25">
        <f t="shared" si="5"/>
        <v>0</v>
      </c>
      <c r="O27" s="28">
        <f t="shared" si="6"/>
        <v>0</v>
      </c>
      <c r="P27" s="29">
        <f t="shared" si="7"/>
        <v>0</v>
      </c>
      <c r="Q27" s="27">
        <f>VLOOKUP(C27,'[1]Participaciones  Tabla I'!$B$5:$AC$110,15,FALSE)</f>
        <v>0</v>
      </c>
      <c r="R27" s="27">
        <f>VLOOKUP(C27,'[1]Participaciones  Tabla I'!$B$5:$AC$110,16,FALSE)</f>
        <v>0</v>
      </c>
      <c r="S27" s="25">
        <f t="shared" si="8"/>
        <v>0</v>
      </c>
      <c r="T27" s="30">
        <f t="shared" si="9"/>
        <v>0</v>
      </c>
      <c r="U27" s="30">
        <f t="shared" si="10"/>
        <v>0</v>
      </c>
      <c r="V27" s="30">
        <f t="shared" si="11"/>
        <v>0</v>
      </c>
      <c r="W27" s="31">
        <f t="shared" si="12"/>
        <v>0</v>
      </c>
      <c r="X27" s="30">
        <f t="shared" si="16"/>
        <v>0</v>
      </c>
      <c r="Y27" s="31">
        <f>VLOOKUP(B27,'[1]Participaciones  Tabla I'!$A$5:$X$110,24,FALSE)</f>
        <v>55.462182976939197</v>
      </c>
      <c r="Z27" s="22">
        <f t="shared" si="17"/>
        <v>7398.8064293997486</v>
      </c>
      <c r="AA27" s="33">
        <f t="shared" si="13"/>
        <v>4.8332036932869282E-3</v>
      </c>
      <c r="AB27" s="33">
        <f t="shared" si="18"/>
        <v>1.208300923321732E-4</v>
      </c>
      <c r="AC27" s="33">
        <f t="shared" si="19"/>
        <v>3.3750000000000004E-3</v>
      </c>
      <c r="AD27" s="34">
        <f t="shared" si="20"/>
        <v>6.9621627634029303E-3</v>
      </c>
      <c r="AE27" s="59">
        <f>VLOOKUP(B27,[2]coeficientes!$A:$E,5,0)-AD27</f>
        <v>0</v>
      </c>
      <c r="AF27" s="62"/>
      <c r="AG27" s="62"/>
      <c r="AH27" s="2" t="s">
        <v>149</v>
      </c>
      <c r="AI27" s="2" t="s">
        <v>150</v>
      </c>
      <c r="AJ27" s="2">
        <f t="shared" si="14"/>
        <v>55.462182976939197</v>
      </c>
      <c r="AK27" s="2" t="s">
        <v>151</v>
      </c>
      <c r="AL27" s="2" t="s">
        <v>152</v>
      </c>
      <c r="AM27" s="60">
        <f t="shared" si="15"/>
        <v>6240</v>
      </c>
      <c r="AN27" s="61" t="s">
        <v>153</v>
      </c>
      <c r="AO27" s="2" t="str">
        <f t="shared" si="21"/>
        <v>@((((55.4621829769392+2.44852)*6240/65540751.1074742)))</v>
      </c>
    </row>
    <row r="28" spans="1:41" s="2" customFormat="1" ht="13.5" x14ac:dyDescent="0.2">
      <c r="A28" s="2" t="s">
        <v>176</v>
      </c>
      <c r="B28" s="20">
        <v>30</v>
      </c>
      <c r="C28" s="21" t="s">
        <v>61</v>
      </c>
      <c r="D28" s="22">
        <f>VLOOKUP(B28,'[1]Participaciones  Tabla I'!A$5:C$110,3)</f>
        <v>4015</v>
      </c>
      <c r="E28" s="24">
        <f t="shared" si="0"/>
        <v>3.4849072702196229E-3</v>
      </c>
      <c r="F28" s="24">
        <f t="shared" si="1"/>
        <v>2.2303406529405588E-3</v>
      </c>
      <c r="G28" s="25">
        <f>VLOOKUP(C28,'[1]Participaciones  Tabla I'!$B$5:$AC$110,5,FALSE)</f>
        <v>19020</v>
      </c>
      <c r="H28" s="25">
        <f>VLOOKUP(C28,'[1]Participaciones  Tabla I'!$B$5:$AC$110,6,FALSE)</f>
        <v>7915</v>
      </c>
      <c r="I28" s="25">
        <f t="shared" si="2"/>
        <v>26935</v>
      </c>
      <c r="J28" s="26">
        <f t="shared" si="3"/>
        <v>2.0451292573906579E-4</v>
      </c>
      <c r="K28" s="26">
        <f t="shared" si="4"/>
        <v>6.7489265493891713E-5</v>
      </c>
      <c r="L28" s="27">
        <f>VLOOKUP(C28,'[1]Participaciones  Tabla I'!$B$5:$AC$110,10,FALSE)</f>
        <v>0</v>
      </c>
      <c r="M28" s="27">
        <f>VLOOKUP(C28,'[1]Participaciones  Tabla I'!$B$5:$AC$110,11,FALSE)</f>
        <v>0</v>
      </c>
      <c r="N28" s="25">
        <f t="shared" si="5"/>
        <v>0</v>
      </c>
      <c r="O28" s="28">
        <f t="shared" si="6"/>
        <v>0</v>
      </c>
      <c r="P28" s="29">
        <f t="shared" si="7"/>
        <v>0</v>
      </c>
      <c r="Q28" s="27">
        <f>VLOOKUP(C28,'[1]Participaciones  Tabla I'!$B$5:$AC$110,15,FALSE)</f>
        <v>3000</v>
      </c>
      <c r="R28" s="27">
        <f>VLOOKUP(C28,'[1]Participaciones  Tabla I'!$B$5:$AC$110,16,FALSE)</f>
        <v>1230</v>
      </c>
      <c r="S28" s="25">
        <f t="shared" si="8"/>
        <v>4230</v>
      </c>
      <c r="T28" s="30">
        <f t="shared" si="9"/>
        <v>2.6258121564836724E-5</v>
      </c>
      <c r="U28" s="30">
        <f t="shared" si="10"/>
        <v>8.9277613320444872E-6</v>
      </c>
      <c r="V28" s="30">
        <f t="shared" si="11"/>
        <v>7.6417026825936204E-5</v>
      </c>
      <c r="W28" s="31">
        <f t="shared" si="12"/>
        <v>3.4387662071671288E-6</v>
      </c>
      <c r="X28" s="30">
        <f t="shared" si="16"/>
        <v>5.2516243129673444E-7</v>
      </c>
      <c r="Y28" s="31">
        <f>VLOOKUP(B28,'[1]Participaciones  Tabla I'!$A$5:$X$110,24,FALSE)</f>
        <v>49.2620186668522</v>
      </c>
      <c r="Z28" s="22">
        <f t="shared" si="17"/>
        <v>8385.1270796568715</v>
      </c>
      <c r="AA28" s="33">
        <f t="shared" si="13"/>
        <v>5.4775087788539031E-3</v>
      </c>
      <c r="AB28" s="33">
        <f t="shared" si="18"/>
        <v>1.3693771947134758E-4</v>
      </c>
      <c r="AC28" s="33">
        <f t="shared" si="19"/>
        <v>3.3750000000000004E-3</v>
      </c>
      <c r="AD28" s="34">
        <f t="shared" si="20"/>
        <v>5.7462423010503708E-3</v>
      </c>
      <c r="AE28" s="59">
        <f>VLOOKUP(B28,[2]coeficientes!$A:$E,5,0)-AD28</f>
        <v>0</v>
      </c>
      <c r="AF28" s="62"/>
      <c r="AG28" s="62"/>
      <c r="AH28" s="2" t="s">
        <v>149</v>
      </c>
      <c r="AI28" s="2" t="s">
        <v>150</v>
      </c>
      <c r="AJ28" s="2">
        <f t="shared" si="14"/>
        <v>49.2620186668522</v>
      </c>
      <c r="AK28" s="2" t="s">
        <v>151</v>
      </c>
      <c r="AL28" s="2" t="s">
        <v>152</v>
      </c>
      <c r="AM28" s="60">
        <f t="shared" si="15"/>
        <v>4015</v>
      </c>
      <c r="AN28" s="61" t="s">
        <v>153</v>
      </c>
      <c r="AO28" s="2" t="str">
        <f t="shared" si="21"/>
        <v>@((((49.2620186668522+2.44852)*4015/65540751.1074742)))</v>
      </c>
    </row>
    <row r="29" spans="1:41" s="2" customFormat="1" ht="13.5" x14ac:dyDescent="0.2">
      <c r="A29" s="2" t="s">
        <v>177</v>
      </c>
      <c r="B29" s="20">
        <v>31</v>
      </c>
      <c r="C29" s="39" t="s">
        <v>62</v>
      </c>
      <c r="D29" s="22">
        <f>VLOOKUP(B29,'[1]Participaciones  Tabla I'!A$5:C$110,3)</f>
        <v>2818</v>
      </c>
      <c r="E29" s="24">
        <f t="shared" si="0"/>
        <v>2.445944878575068E-3</v>
      </c>
      <c r="F29" s="24">
        <f t="shared" si="1"/>
        <v>1.5654047222880435E-3</v>
      </c>
      <c r="G29" s="25">
        <f>VLOOKUP(C29,'[1]Participaciones  Tabla I'!$B$5:$AC$110,5,FALSE)</f>
        <v>13067.74</v>
      </c>
      <c r="H29" s="25">
        <f>VLOOKUP(C29,'[1]Participaciones  Tabla I'!$B$5:$AC$110,6,FALSE)</f>
        <v>0</v>
      </c>
      <c r="I29" s="25">
        <f t="shared" si="2"/>
        <v>13067.74</v>
      </c>
      <c r="J29" s="26">
        <f t="shared" si="3"/>
        <v>9.9221152411264874E-5</v>
      </c>
      <c r="K29" s="26">
        <f t="shared" si="4"/>
        <v>3.274298029571741E-5</v>
      </c>
      <c r="L29" s="27">
        <f>VLOOKUP(C29,'[1]Participaciones  Tabla I'!$B$5:$AC$110,10,FALSE)</f>
        <v>6840</v>
      </c>
      <c r="M29" s="27">
        <f>VLOOKUP(C29,'[1]Participaciones  Tabla I'!$B$5:$AC$110,11,FALSE)</f>
        <v>0</v>
      </c>
      <c r="N29" s="25">
        <f t="shared" si="5"/>
        <v>6840</v>
      </c>
      <c r="O29" s="28">
        <f t="shared" si="6"/>
        <v>5.3044086559813051E-5</v>
      </c>
      <c r="P29" s="29">
        <f t="shared" si="7"/>
        <v>1.7504548564738309E-5</v>
      </c>
      <c r="Q29" s="27">
        <f>VLOOKUP(C29,'[1]Participaciones  Tabla I'!$B$5:$AC$110,15,FALSE)</f>
        <v>12800</v>
      </c>
      <c r="R29" s="27">
        <f>VLOOKUP(C29,'[1]Participaciones  Tabla I'!$B$5:$AC$110,16,FALSE)</f>
        <v>0</v>
      </c>
      <c r="S29" s="25">
        <f t="shared" si="8"/>
        <v>12800</v>
      </c>
      <c r="T29" s="30">
        <f t="shared" si="9"/>
        <v>7.9457200007070932E-5</v>
      </c>
      <c r="U29" s="30">
        <f t="shared" si="10"/>
        <v>2.701544800240412E-5</v>
      </c>
      <c r="V29" s="30">
        <f t="shared" si="11"/>
        <v>7.7262976862859842E-5</v>
      </c>
      <c r="W29" s="31">
        <f t="shared" si="12"/>
        <v>3.4768339588286926E-6</v>
      </c>
      <c r="X29" s="30">
        <f t="shared" si="16"/>
        <v>1.5891440001414186E-6</v>
      </c>
      <c r="Y29" s="31">
        <f>VLOOKUP(B29,'[1]Participaciones  Tabla I'!$A$5:$X$110,24,FALSE)</f>
        <v>51.262294036781803</v>
      </c>
      <c r="Z29" s="22">
        <f t="shared" si="17"/>
        <v>5064.537746873194</v>
      </c>
      <c r="AA29" s="33">
        <f t="shared" si="13"/>
        <v>3.3083636903532871E-3</v>
      </c>
      <c r="AB29" s="33">
        <f t="shared" si="18"/>
        <v>8.2709092258832176E-5</v>
      </c>
      <c r="AC29" s="33">
        <f t="shared" si="19"/>
        <v>3.3750000000000004E-3</v>
      </c>
      <c r="AD29" s="34">
        <f t="shared" si="20"/>
        <v>5.0281797925058463E-3</v>
      </c>
      <c r="AE29" s="59">
        <f>VLOOKUP(B29,[2]coeficientes!$A:$E,5,0)-AD29</f>
        <v>0</v>
      </c>
      <c r="AF29" s="62"/>
      <c r="AG29" s="62"/>
      <c r="AH29" s="2" t="s">
        <v>149</v>
      </c>
      <c r="AI29" s="2" t="s">
        <v>150</v>
      </c>
      <c r="AJ29" s="2">
        <f t="shared" si="14"/>
        <v>51.262294036781803</v>
      </c>
      <c r="AK29" s="2" t="s">
        <v>151</v>
      </c>
      <c r="AL29" s="2" t="s">
        <v>152</v>
      </c>
      <c r="AM29" s="60">
        <f t="shared" si="15"/>
        <v>2818</v>
      </c>
      <c r="AN29" s="61" t="s">
        <v>153</v>
      </c>
      <c r="AO29" s="2" t="str">
        <f t="shared" si="21"/>
        <v>@((((51.2622940367818+2.44852)*2818/65540751.1074742)))</v>
      </c>
    </row>
    <row r="30" spans="1:41" s="2" customFormat="1" ht="13.5" x14ac:dyDescent="0.2">
      <c r="A30" s="2" t="s">
        <v>178</v>
      </c>
      <c r="B30" s="20">
        <v>32</v>
      </c>
      <c r="C30" s="21" t="s">
        <v>63</v>
      </c>
      <c r="D30" s="22">
        <f>VLOOKUP(B30,'[1]Participaciones  Tabla I'!A$5:C$110,3)</f>
        <v>16779</v>
      </c>
      <c r="E30" s="24">
        <f t="shared" si="0"/>
        <v>1.4563700893403499E-2</v>
      </c>
      <c r="F30" s="24">
        <f t="shared" si="1"/>
        <v>9.3207685717782394E-3</v>
      </c>
      <c r="G30" s="25">
        <f>VLOOKUP(C30,'[1]Participaciones  Tabla I'!$B$5:$AC$110,5,FALSE)</f>
        <v>168428.5</v>
      </c>
      <c r="H30" s="25">
        <f>VLOOKUP(C30,'[1]Participaciones  Tabla I'!$B$5:$AC$110,6,FALSE)</f>
        <v>177493</v>
      </c>
      <c r="I30" s="25">
        <f t="shared" si="2"/>
        <v>345921.5</v>
      </c>
      <c r="J30" s="26">
        <f t="shared" si="3"/>
        <v>2.626523780992992E-3</v>
      </c>
      <c r="K30" s="26">
        <f t="shared" si="4"/>
        <v>8.6675284772768746E-4</v>
      </c>
      <c r="L30" s="27">
        <f>VLOOKUP(C30,'[1]Participaciones  Tabla I'!$B$5:$AC$110,10,FALSE)</f>
        <v>135857.4</v>
      </c>
      <c r="M30" s="27">
        <f>VLOOKUP(C30,'[1]Participaciones  Tabla I'!$B$5:$AC$110,11,FALSE)</f>
        <v>71962</v>
      </c>
      <c r="N30" s="25">
        <f t="shared" si="5"/>
        <v>207819.4</v>
      </c>
      <c r="O30" s="28">
        <f t="shared" si="6"/>
        <v>1.6116360003521071E-3</v>
      </c>
      <c r="P30" s="29">
        <f t="shared" si="7"/>
        <v>5.3183988011619541E-4</v>
      </c>
      <c r="Q30" s="27">
        <f>VLOOKUP(C30,'[1]Participaciones  Tabla I'!$B$5:$AC$110,15,FALSE)</f>
        <v>186130.5</v>
      </c>
      <c r="R30" s="27">
        <f>VLOOKUP(C30,'[1]Participaciones  Tabla I'!$B$5:$AC$110,16,FALSE)</f>
        <v>93836</v>
      </c>
      <c r="S30" s="25">
        <f t="shared" si="8"/>
        <v>279966.5</v>
      </c>
      <c r="T30" s="30">
        <f t="shared" si="9"/>
        <v>1.7379182957640332E-3</v>
      </c>
      <c r="U30" s="30">
        <f t="shared" si="10"/>
        <v>5.9089222055977138E-4</v>
      </c>
      <c r="V30" s="30">
        <f t="shared" si="11"/>
        <v>1.9894849484036544E-3</v>
      </c>
      <c r="W30" s="31">
        <f t="shared" si="12"/>
        <v>8.9526822678164439E-5</v>
      </c>
      <c r="X30" s="30">
        <f t="shared" si="16"/>
        <v>3.4758365915280669E-5</v>
      </c>
      <c r="Y30" s="31">
        <f>VLOOKUP(B30,'[1]Participaciones  Tabla I'!$A$5:$X$110,24,FALSE)</f>
        <v>52.251815023813997</v>
      </c>
      <c r="Z30" s="22">
        <f t="shared" si="17"/>
        <v>27737.964456165846</v>
      </c>
      <c r="AA30" s="33">
        <f t="shared" si="13"/>
        <v>1.8119575573850848E-2</v>
      </c>
      <c r="AB30" s="33">
        <f t="shared" si="18"/>
        <v>4.529893893462712E-4</v>
      </c>
      <c r="AC30" s="33">
        <f t="shared" si="19"/>
        <v>3.3750000000000004E-3</v>
      </c>
      <c r="AD30" s="34">
        <f t="shared" si="20"/>
        <v>1.3273043149717955E-2</v>
      </c>
      <c r="AE30" s="59">
        <f>VLOOKUP(B30,[2]coeficientes!$A:$E,5,0)-AD30</f>
        <v>0</v>
      </c>
      <c r="AF30" s="62"/>
      <c r="AG30" s="62"/>
      <c r="AH30" s="2" t="s">
        <v>149</v>
      </c>
      <c r="AI30" s="2" t="s">
        <v>150</v>
      </c>
      <c r="AJ30" s="2">
        <f t="shared" si="14"/>
        <v>52.251815023813997</v>
      </c>
      <c r="AK30" s="2" t="s">
        <v>151</v>
      </c>
      <c r="AL30" s="2" t="s">
        <v>152</v>
      </c>
      <c r="AM30" s="60">
        <f t="shared" si="15"/>
        <v>16779</v>
      </c>
      <c r="AN30" s="61" t="s">
        <v>153</v>
      </c>
      <c r="AO30" s="2" t="str">
        <f t="shared" si="21"/>
        <v>@((((52.251815023814+2.44852)*16779/65540751.1074742)))</v>
      </c>
    </row>
    <row r="31" spans="1:41" s="2" customFormat="1" ht="13.5" x14ac:dyDescent="0.2">
      <c r="A31" s="2" t="s">
        <v>179</v>
      </c>
      <c r="B31" s="20">
        <v>33</v>
      </c>
      <c r="C31" s="21" t="s">
        <v>64</v>
      </c>
      <c r="D31" s="22">
        <f>VLOOKUP(B31,'[1]Participaciones  Tabla I'!A$5:C$110,3)</f>
        <v>21255</v>
      </c>
      <c r="E31" s="24">
        <f t="shared" si="0"/>
        <v>1.8448743220054319E-2</v>
      </c>
      <c r="F31" s="24">
        <f t="shared" si="1"/>
        <v>1.1807195660834765E-2</v>
      </c>
      <c r="G31" s="25">
        <f>VLOOKUP(C31,'[1]Participaciones  Tabla I'!$B$5:$AC$110,5,FALSE)</f>
        <v>73390</v>
      </c>
      <c r="H31" s="25">
        <f>VLOOKUP(C31,'[1]Participaciones  Tabla I'!$B$5:$AC$110,6,FALSE)</f>
        <v>80537</v>
      </c>
      <c r="I31" s="25">
        <f t="shared" si="2"/>
        <v>153927</v>
      </c>
      <c r="J31" s="26">
        <f t="shared" si="3"/>
        <v>1.1687418273709739E-3</v>
      </c>
      <c r="K31" s="26">
        <f t="shared" si="4"/>
        <v>3.8568480303242139E-4</v>
      </c>
      <c r="L31" s="27">
        <f>VLOOKUP(C31,'[1]Participaciones  Tabla I'!$B$5:$AC$110,10,FALSE)</f>
        <v>48503</v>
      </c>
      <c r="M31" s="27">
        <f>VLOOKUP(C31,'[1]Participaciones  Tabla I'!$B$5:$AC$110,11,FALSE)</f>
        <v>141588</v>
      </c>
      <c r="N31" s="25">
        <f t="shared" si="5"/>
        <v>190091</v>
      </c>
      <c r="O31" s="28">
        <f t="shared" si="6"/>
        <v>1.4741525523744772E-3</v>
      </c>
      <c r="P31" s="29">
        <f t="shared" si="7"/>
        <v>4.8647034228357748E-4</v>
      </c>
      <c r="Q31" s="27">
        <f>VLOOKUP(C31,'[1]Participaciones  Tabla I'!$B$5:$AC$110,15,FALSE)</f>
        <v>91988</v>
      </c>
      <c r="R31" s="27">
        <f>VLOOKUP(C31,'[1]Participaciones  Tabla I'!$B$5:$AC$110,16,FALSE)</f>
        <v>120669</v>
      </c>
      <c r="S31" s="25">
        <f t="shared" si="8"/>
        <v>212657</v>
      </c>
      <c r="T31" s="30">
        <f t="shared" si="9"/>
        <v>1.3200882642112252E-3</v>
      </c>
      <c r="U31" s="30">
        <f t="shared" si="10"/>
        <v>4.4883000983181662E-4</v>
      </c>
      <c r="V31" s="30">
        <f t="shared" si="11"/>
        <v>1.3209851551478156E-3</v>
      </c>
      <c r="W31" s="31">
        <f t="shared" si="12"/>
        <v>5.9444331981651698E-5</v>
      </c>
      <c r="X31" s="30">
        <f t="shared" si="16"/>
        <v>2.6401765284224507E-5</v>
      </c>
      <c r="Y31" s="31">
        <f>VLOOKUP(B31,'[1]Participaciones  Tabla I'!$A$5:$X$110,24,FALSE)</f>
        <v>52.109950730545897</v>
      </c>
      <c r="Z31" s="22">
        <f t="shared" si="17"/>
        <v>35576.431395559128</v>
      </c>
      <c r="AA31" s="33">
        <f t="shared" si="13"/>
        <v>2.3239983537308898E-2</v>
      </c>
      <c r="AB31" s="33">
        <f t="shared" si="18"/>
        <v>5.8099958843272248E-4</v>
      </c>
      <c r="AC31" s="33">
        <f t="shared" si="19"/>
        <v>3.3750000000000004E-3</v>
      </c>
      <c r="AD31" s="34">
        <f t="shared" si="20"/>
        <v>1.5849041346533362E-2</v>
      </c>
      <c r="AE31" s="59">
        <f>VLOOKUP(B31,[2]coeficientes!$A:$E,5,0)-AD31</f>
        <v>0</v>
      </c>
      <c r="AF31" s="62"/>
      <c r="AG31" s="62"/>
      <c r="AH31" s="2" t="s">
        <v>149</v>
      </c>
      <c r="AI31" s="2" t="s">
        <v>150</v>
      </c>
      <c r="AJ31" s="2">
        <f t="shared" si="14"/>
        <v>52.109950730545897</v>
      </c>
      <c r="AK31" s="2" t="s">
        <v>151</v>
      </c>
      <c r="AL31" s="2" t="s">
        <v>152</v>
      </c>
      <c r="AM31" s="60">
        <f t="shared" si="15"/>
        <v>21255</v>
      </c>
      <c r="AN31" s="61" t="s">
        <v>153</v>
      </c>
      <c r="AO31" s="2" t="str">
        <f t="shared" si="21"/>
        <v>@((((52.1099507305459+2.44852)*21255/65540751.1074742)))</v>
      </c>
    </row>
    <row r="32" spans="1:41" s="2" customFormat="1" ht="13.5" x14ac:dyDescent="0.2">
      <c r="A32" s="2" t="s">
        <v>180</v>
      </c>
      <c r="B32" s="20">
        <v>34</v>
      </c>
      <c r="C32" s="21" t="s">
        <v>65</v>
      </c>
      <c r="D32" s="22">
        <f>VLOOKUP(B32,'[1]Participaciones  Tabla I'!A$5:C$110,3)</f>
        <v>6514</v>
      </c>
      <c r="E32" s="24">
        <f t="shared" si="0"/>
        <v>5.6539691054073781E-3</v>
      </c>
      <c r="F32" s="24">
        <f t="shared" si="1"/>
        <v>3.6185402274607221E-3</v>
      </c>
      <c r="G32" s="25">
        <f>VLOOKUP(C32,'[1]Participaciones  Tabla I'!$B$5:$AC$110,5,FALSE)</f>
        <v>16070</v>
      </c>
      <c r="H32" s="25">
        <f>VLOOKUP(C32,'[1]Participaciones  Tabla I'!$B$5:$AC$110,6,FALSE)</f>
        <v>22060</v>
      </c>
      <c r="I32" s="25">
        <f t="shared" si="2"/>
        <v>38130</v>
      </c>
      <c r="J32" s="26">
        <f t="shared" si="3"/>
        <v>2.8951467824134318E-4</v>
      </c>
      <c r="K32" s="26">
        <f t="shared" si="4"/>
        <v>9.553984381964325E-5</v>
      </c>
      <c r="L32" s="27">
        <f>VLOOKUP(C32,'[1]Participaciones  Tabla I'!$B$5:$AC$110,10,FALSE)</f>
        <v>12930</v>
      </c>
      <c r="M32" s="27">
        <f>VLOOKUP(C32,'[1]Participaciones  Tabla I'!$B$5:$AC$110,11,FALSE)</f>
        <v>8930</v>
      </c>
      <c r="N32" s="25">
        <f t="shared" si="5"/>
        <v>21860</v>
      </c>
      <c r="O32" s="28">
        <f t="shared" si="6"/>
        <v>1.6952393745577681E-4</v>
      </c>
      <c r="P32" s="29">
        <f t="shared" si="7"/>
        <v>5.5942899360406346E-5</v>
      </c>
      <c r="Q32" s="27">
        <f>VLOOKUP(C32,'[1]Participaciones  Tabla I'!$B$5:$AC$110,15,FALSE)</f>
        <v>21990</v>
      </c>
      <c r="R32" s="27">
        <f>VLOOKUP(C32,'[1]Participaciones  Tabla I'!$B$5:$AC$110,16,FALSE)</f>
        <v>6320</v>
      </c>
      <c r="S32" s="25">
        <f t="shared" si="8"/>
        <v>28310</v>
      </c>
      <c r="T32" s="30">
        <f t="shared" si="9"/>
        <v>1.7573697907813892E-4</v>
      </c>
      <c r="U32" s="30">
        <f t="shared" si="10"/>
        <v>5.9750572886567235E-5</v>
      </c>
      <c r="V32" s="30">
        <f t="shared" si="11"/>
        <v>2.1123331606661685E-4</v>
      </c>
      <c r="W32" s="31">
        <f t="shared" si="12"/>
        <v>9.5054992229977572E-6</v>
      </c>
      <c r="X32" s="30">
        <f t="shared" si="16"/>
        <v>3.5147395815627783E-6</v>
      </c>
      <c r="Y32" s="31">
        <f>VLOOKUP(B32,'[1]Participaciones  Tabla I'!$A$5:$X$110,24,FALSE)</f>
        <v>50.966674166207099</v>
      </c>
      <c r="Z32" s="22">
        <f t="shared" si="17"/>
        <v>11987.403100481197</v>
      </c>
      <c r="AA32" s="33">
        <f t="shared" si="13"/>
        <v>7.8306631604721216E-3</v>
      </c>
      <c r="AB32" s="33">
        <f t="shared" si="18"/>
        <v>1.9576657901180304E-4</v>
      </c>
      <c r="AC32" s="33">
        <f t="shared" si="19"/>
        <v>3.3750000000000004E-3</v>
      </c>
      <c r="AD32" s="34">
        <f t="shared" si="20"/>
        <v>7.2023270452770856E-3</v>
      </c>
      <c r="AE32" s="59">
        <f>VLOOKUP(B32,[2]coeficientes!$A:$E,5,0)-AD32</f>
        <v>0</v>
      </c>
      <c r="AF32" s="62"/>
      <c r="AG32" s="62"/>
      <c r="AH32" s="2" t="s">
        <v>149</v>
      </c>
      <c r="AI32" s="2" t="s">
        <v>150</v>
      </c>
      <c r="AJ32" s="2">
        <f t="shared" si="14"/>
        <v>50.966674166207099</v>
      </c>
      <c r="AK32" s="2" t="s">
        <v>151</v>
      </c>
      <c r="AL32" s="2" t="s">
        <v>152</v>
      </c>
      <c r="AM32" s="60">
        <f t="shared" si="15"/>
        <v>6514</v>
      </c>
      <c r="AN32" s="61" t="s">
        <v>153</v>
      </c>
      <c r="AO32" s="2" t="str">
        <f t="shared" si="21"/>
        <v>@((((50.9666741662071+2.44852)*6514/65540751.1074742)))</v>
      </c>
    </row>
    <row r="33" spans="1:41" s="2" customFormat="1" ht="13.5" x14ac:dyDescent="0.2">
      <c r="A33" s="2" t="s">
        <v>181</v>
      </c>
      <c r="B33" s="20">
        <v>36</v>
      </c>
      <c r="C33" s="39" t="s">
        <v>67</v>
      </c>
      <c r="D33" s="22">
        <f>VLOOKUP(B33,'[1]Participaciones  Tabla I'!A$5:C$110,3)</f>
        <v>8090</v>
      </c>
      <c r="E33" s="24">
        <f t="shared" si="0"/>
        <v>7.0218928558099004E-3</v>
      </c>
      <c r="F33" s="24">
        <f t="shared" si="1"/>
        <v>4.4940114277183365E-3</v>
      </c>
      <c r="G33" s="25">
        <f>VLOOKUP(C33,'[1]Participaciones  Tabla I'!$B$5:$AC$110,5,FALSE)</f>
        <v>14450</v>
      </c>
      <c r="H33" s="25">
        <f>VLOOKUP(C33,'[1]Participaciones  Tabla I'!$B$5:$AC$110,6,FALSE)</f>
        <v>0</v>
      </c>
      <c r="I33" s="25">
        <f t="shared" si="2"/>
        <v>14450</v>
      </c>
      <c r="J33" s="26">
        <f t="shared" si="3"/>
        <v>1.097164201570262E-4</v>
      </c>
      <c r="K33" s="26">
        <f t="shared" si="4"/>
        <v>3.6206418651818648E-5</v>
      </c>
      <c r="L33" s="27">
        <f>VLOOKUP(C33,'[1]Participaciones  Tabla I'!$B$5:$AC$110,10,FALSE)</f>
        <v>16550</v>
      </c>
      <c r="M33" s="27">
        <f>VLOOKUP(C33,'[1]Participaciones  Tabla I'!$B$5:$AC$110,11,FALSE)</f>
        <v>25000</v>
      </c>
      <c r="N33" s="25">
        <f t="shared" si="5"/>
        <v>41550</v>
      </c>
      <c r="O33" s="28">
        <f t="shared" si="6"/>
        <v>3.2221956090061876E-4</v>
      </c>
      <c r="P33" s="29">
        <f t="shared" si="7"/>
        <v>1.063324550972042E-4</v>
      </c>
      <c r="Q33" s="27">
        <f>VLOOKUP(C33,'[1]Participaciones  Tabla I'!$B$5:$AC$110,15,FALSE)</f>
        <v>5825</v>
      </c>
      <c r="R33" s="27">
        <f>VLOOKUP(C33,'[1]Participaciones  Tabla I'!$B$5:$AC$110,16,FALSE)</f>
        <v>720</v>
      </c>
      <c r="S33" s="25">
        <f t="shared" si="8"/>
        <v>6545</v>
      </c>
      <c r="T33" s="30">
        <f t="shared" si="9"/>
        <v>4.0628701097365565E-5</v>
      </c>
      <c r="U33" s="30">
        <f t="shared" si="10"/>
        <v>1.3813758373104293E-5</v>
      </c>
      <c r="V33" s="30">
        <f t="shared" si="11"/>
        <v>1.5635263212212714E-4</v>
      </c>
      <c r="W33" s="31">
        <f t="shared" si="12"/>
        <v>7.0358684454957214E-6</v>
      </c>
      <c r="X33" s="30">
        <f t="shared" si="16"/>
        <v>8.1257402194731133E-7</v>
      </c>
      <c r="Y33" s="31">
        <f>VLOOKUP(B33,'[1]Participaciones  Tabla I'!$A$5:$X$110,24,FALSE)</f>
        <v>53.030389865795101</v>
      </c>
      <c r="Z33" s="22">
        <f t="shared" si="17"/>
        <v>12456.781655520479</v>
      </c>
      <c r="AA33" s="33">
        <f t="shared" si="13"/>
        <v>8.1372804760368421E-3</v>
      </c>
      <c r="AB33" s="33">
        <f t="shared" si="18"/>
        <v>2.0343201190092106E-4</v>
      </c>
      <c r="AC33" s="33">
        <f t="shared" si="19"/>
        <v>3.3750000000000004E-3</v>
      </c>
      <c r="AD33" s="34">
        <f t="shared" si="20"/>
        <v>8.0802918820867022E-3</v>
      </c>
      <c r="AE33" s="59">
        <f>VLOOKUP(B33,[2]coeficientes!$A:$E,5,0)-AD33</f>
        <v>0</v>
      </c>
      <c r="AF33" s="62"/>
      <c r="AG33" s="62"/>
      <c r="AH33" s="2" t="s">
        <v>149</v>
      </c>
      <c r="AI33" s="2" t="s">
        <v>150</v>
      </c>
      <c r="AJ33" s="2">
        <f t="shared" si="14"/>
        <v>53.030389865795101</v>
      </c>
      <c r="AK33" s="2" t="s">
        <v>151</v>
      </c>
      <c r="AL33" s="2" t="s">
        <v>152</v>
      </c>
      <c r="AM33" s="60">
        <f t="shared" si="15"/>
        <v>8090</v>
      </c>
      <c r="AN33" s="61" t="s">
        <v>153</v>
      </c>
      <c r="AO33" s="2" t="str">
        <f t="shared" si="21"/>
        <v>@((((53.0303898657951+2.44852)*8090/65540751.1074742)))</v>
      </c>
    </row>
    <row r="34" spans="1:41" s="2" customFormat="1" ht="13.5" x14ac:dyDescent="0.2">
      <c r="A34" s="2" t="s">
        <v>182</v>
      </c>
      <c r="B34" s="20">
        <v>38</v>
      </c>
      <c r="C34" s="21" t="s">
        <v>69</v>
      </c>
      <c r="D34" s="22">
        <f>VLOOKUP(B34,'[1]Participaciones  Tabla I'!A$5:C$110,3)</f>
        <v>35137</v>
      </c>
      <c r="E34" s="24">
        <f t="shared" si="0"/>
        <v>3.0497929452978054E-2</v>
      </c>
      <c r="F34" s="24">
        <f t="shared" si="1"/>
        <v>1.9518674849905954E-2</v>
      </c>
      <c r="G34" s="25">
        <f>VLOOKUP(C34,'[1]Participaciones  Tabla I'!$B$5:$AC$110,5,FALSE)</f>
        <v>1236299.55</v>
      </c>
      <c r="H34" s="25">
        <f>VLOOKUP(C34,'[1]Participaciones  Tabla I'!$B$5:$AC$110,6,FALSE)</f>
        <v>79476</v>
      </c>
      <c r="I34" s="25">
        <f t="shared" si="2"/>
        <v>1315775.55</v>
      </c>
      <c r="J34" s="26">
        <f t="shared" si="3"/>
        <v>9.9904624966188401E-3</v>
      </c>
      <c r="K34" s="26">
        <f t="shared" si="4"/>
        <v>3.2968526238842176E-3</v>
      </c>
      <c r="L34" s="27">
        <f>VLOOKUP(C34,'[1]Participaciones  Tabla I'!$B$5:$AC$110,10,FALSE)</f>
        <v>1479034.53</v>
      </c>
      <c r="M34" s="27">
        <f>VLOOKUP(C34,'[1]Participaciones  Tabla I'!$B$5:$AC$110,11,FALSE)</f>
        <v>31374.79</v>
      </c>
      <c r="N34" s="25">
        <f t="shared" si="5"/>
        <v>1510409.32</v>
      </c>
      <c r="O34" s="28">
        <f t="shared" si="6"/>
        <v>1.1713199226729296E-2</v>
      </c>
      <c r="P34" s="29">
        <f t="shared" si="7"/>
        <v>3.8653557448206678E-3</v>
      </c>
      <c r="Q34" s="27">
        <f>VLOOKUP(C34,'[1]Participaciones  Tabla I'!$B$5:$AC$110,15,FALSE)</f>
        <v>2229291.23</v>
      </c>
      <c r="R34" s="27">
        <f>VLOOKUP(C34,'[1]Participaciones  Tabla I'!$B$5:$AC$110,16,FALSE)</f>
        <v>135411</v>
      </c>
      <c r="S34" s="25">
        <f t="shared" si="8"/>
        <v>2364702.23</v>
      </c>
      <c r="T34" s="30">
        <f t="shared" si="9"/>
        <v>1.4679110784865364E-2</v>
      </c>
      <c r="U34" s="30">
        <f t="shared" si="10"/>
        <v>4.990897666854224E-3</v>
      </c>
      <c r="V34" s="30">
        <f t="shared" si="11"/>
        <v>1.215310603555911E-2</v>
      </c>
      <c r="W34" s="31">
        <f t="shared" si="12"/>
        <v>5.4688977160015991E-4</v>
      </c>
      <c r="X34" s="30">
        <f t="shared" si="16"/>
        <v>2.9358221569730731E-4</v>
      </c>
      <c r="Y34" s="31">
        <f>VLOOKUP(B34,'[1]Participaciones  Tabla I'!$A$5:$X$110,24,FALSE)</f>
        <v>54.493181212077502</v>
      </c>
      <c r="Z34" s="22">
        <f t="shared" si="17"/>
        <v>46619.519158979456</v>
      </c>
      <c r="AA34" s="33">
        <f t="shared" si="13"/>
        <v>3.0453781204912551E-2</v>
      </c>
      <c r="AB34" s="33">
        <f t="shared" si="18"/>
        <v>7.6134453012281387E-4</v>
      </c>
      <c r="AC34" s="33">
        <f t="shared" si="19"/>
        <v>3.3750000000000004E-3</v>
      </c>
      <c r="AD34" s="34">
        <f t="shared" si="20"/>
        <v>2.4495491367326237E-2</v>
      </c>
      <c r="AE34" s="59">
        <f>VLOOKUP(B34,[2]coeficientes!$A:$E,5,0)-AD34</f>
        <v>0</v>
      </c>
      <c r="AF34" s="62"/>
      <c r="AG34" s="62"/>
      <c r="AH34" s="2" t="s">
        <v>149</v>
      </c>
      <c r="AI34" s="2" t="s">
        <v>150</v>
      </c>
      <c r="AJ34" s="2">
        <f t="shared" si="14"/>
        <v>54.493181212077502</v>
      </c>
      <c r="AK34" s="2" t="s">
        <v>151</v>
      </c>
      <c r="AL34" s="2" t="s">
        <v>152</v>
      </c>
      <c r="AM34" s="60">
        <f t="shared" si="15"/>
        <v>35137</v>
      </c>
      <c r="AN34" s="61" t="s">
        <v>153</v>
      </c>
      <c r="AO34" s="2" t="str">
        <f t="shared" si="21"/>
        <v>@((((54.4931812120775+2.44852)*35137/65540751.1074742)))</v>
      </c>
    </row>
    <row r="35" spans="1:41" s="2" customFormat="1" ht="13.5" x14ac:dyDescent="0.2">
      <c r="A35" s="2" t="s">
        <v>183</v>
      </c>
      <c r="B35" s="20">
        <v>39</v>
      </c>
      <c r="C35" s="39" t="s">
        <v>70</v>
      </c>
      <c r="D35" s="22">
        <f>VLOOKUP(B35,'[1]Participaciones  Tabla I'!A$5:C$110,3)</f>
        <v>4186</v>
      </c>
      <c r="E35" s="24">
        <f t="shared" si="0"/>
        <v>3.6333304690259879E-3</v>
      </c>
      <c r="F35" s="24">
        <f t="shared" si="1"/>
        <v>2.3253315001766322E-3</v>
      </c>
      <c r="G35" s="25">
        <f>VLOOKUP(C35,'[1]Participaciones  Tabla I'!$B$5:$AC$110,5,FALSE)</f>
        <v>13185</v>
      </c>
      <c r="H35" s="25">
        <f>VLOOKUP(C35,'[1]Participaciones  Tabla I'!$B$5:$AC$110,6,FALSE)</f>
        <v>2008</v>
      </c>
      <c r="I35" s="25">
        <f t="shared" si="2"/>
        <v>15193</v>
      </c>
      <c r="J35" s="26">
        <f t="shared" si="3"/>
        <v>1.1535789421769543E-4</v>
      </c>
      <c r="K35" s="26">
        <f t="shared" si="4"/>
        <v>3.8068105091839496E-5</v>
      </c>
      <c r="L35" s="27">
        <f>VLOOKUP(C35,'[1]Participaciones  Tabla I'!$B$5:$AC$110,10,FALSE)</f>
        <v>230687.23</v>
      </c>
      <c r="M35" s="27">
        <f>VLOOKUP(C35,'[1]Participaciones  Tabla I'!$B$5:$AC$110,11,FALSE)</f>
        <v>0</v>
      </c>
      <c r="N35" s="25">
        <f t="shared" si="5"/>
        <v>230687.23</v>
      </c>
      <c r="O35" s="28">
        <f t="shared" si="6"/>
        <v>1.7889756427432021E-3</v>
      </c>
      <c r="P35" s="29">
        <f t="shared" si="7"/>
        <v>5.9036196210525676E-4</v>
      </c>
      <c r="Q35" s="27">
        <f>VLOOKUP(C35,'[1]Participaciones  Tabla I'!$B$5:$AC$110,15,FALSE)</f>
        <v>0</v>
      </c>
      <c r="R35" s="27">
        <f>VLOOKUP(C35,'[1]Participaciones  Tabla I'!$B$5:$AC$110,16,FALSE)</f>
        <v>0</v>
      </c>
      <c r="S35" s="25">
        <f t="shared" si="8"/>
        <v>0</v>
      </c>
      <c r="T35" s="30">
        <f t="shared" si="9"/>
        <v>0</v>
      </c>
      <c r="U35" s="30">
        <f t="shared" si="10"/>
        <v>0</v>
      </c>
      <c r="V35" s="30">
        <f t="shared" si="11"/>
        <v>6.2843006719709622E-4</v>
      </c>
      <c r="W35" s="31">
        <f t="shared" si="12"/>
        <v>2.8279353023869328E-5</v>
      </c>
      <c r="X35" s="30">
        <f t="shared" si="16"/>
        <v>0</v>
      </c>
      <c r="Y35" s="31">
        <f>VLOOKUP(B35,'[1]Participaciones  Tabla I'!$A$5:$X$110,24,FALSE)</f>
        <v>55.1057406418157</v>
      </c>
      <c r="Z35" s="22">
        <f t="shared" si="17"/>
        <v>5180.6110244411384</v>
      </c>
      <c r="AA35" s="33">
        <f t="shared" si="13"/>
        <v>3.3841875139911247E-3</v>
      </c>
      <c r="AB35" s="33">
        <f t="shared" si="18"/>
        <v>8.4604687849778118E-5</v>
      </c>
      <c r="AC35" s="33">
        <f t="shared" si="19"/>
        <v>3.3750000000000004E-3</v>
      </c>
      <c r="AD35" s="34">
        <f t="shared" si="20"/>
        <v>5.8132155410502801E-3</v>
      </c>
      <c r="AE35" s="59">
        <f>VLOOKUP(B35,[2]coeficientes!$A:$E,5,0)-AD35</f>
        <v>0</v>
      </c>
      <c r="AF35" s="62"/>
      <c r="AG35" s="62"/>
      <c r="AH35" s="2" t="s">
        <v>149</v>
      </c>
      <c r="AI35" s="2" t="s">
        <v>150</v>
      </c>
      <c r="AJ35" s="2">
        <f t="shared" si="14"/>
        <v>55.1057406418157</v>
      </c>
      <c r="AK35" s="2" t="s">
        <v>151</v>
      </c>
      <c r="AL35" s="2" t="s">
        <v>152</v>
      </c>
      <c r="AM35" s="60">
        <f t="shared" si="15"/>
        <v>4186</v>
      </c>
      <c r="AN35" s="61" t="s">
        <v>153</v>
      </c>
      <c r="AO35" s="2" t="str">
        <f t="shared" si="21"/>
        <v>@((((55.1057406418157+2.44852)*4186/65540751.1074742)))</v>
      </c>
    </row>
    <row r="36" spans="1:41" s="2" customFormat="1" ht="13.5" x14ac:dyDescent="0.2">
      <c r="A36" s="2" t="s">
        <v>184</v>
      </c>
      <c r="B36" s="20">
        <v>40</v>
      </c>
      <c r="C36" s="39" t="s">
        <v>71</v>
      </c>
      <c r="D36" s="22">
        <f>VLOOKUP(B36,'[1]Participaciones  Tabla I'!A$5:C$110,3)</f>
        <v>28555</v>
      </c>
      <c r="E36" s="24">
        <f t="shared" si="0"/>
        <v>2.4784938256817268E-2</v>
      </c>
      <c r="F36" s="24">
        <f t="shared" si="1"/>
        <v>1.5862360484363052E-2</v>
      </c>
      <c r="G36" s="25">
        <f>VLOOKUP(C36,'[1]Participaciones  Tabla I'!$B$5:$AC$110,5,FALSE)</f>
        <v>627004.62</v>
      </c>
      <c r="H36" s="25">
        <f>VLOOKUP(C36,'[1]Participaciones  Tabla I'!$B$5:$AC$110,6,FALSE)</f>
        <v>532448.22</v>
      </c>
      <c r="I36" s="25">
        <f t="shared" si="2"/>
        <v>1159452.8399999999</v>
      </c>
      <c r="J36" s="26">
        <f t="shared" si="3"/>
        <v>8.8035304460690137E-3</v>
      </c>
      <c r="K36" s="26">
        <f t="shared" si="4"/>
        <v>2.9051650472027746E-3</v>
      </c>
      <c r="L36" s="27">
        <f>VLOOKUP(C36,'[1]Participaciones  Tabla I'!$B$5:$AC$110,10,FALSE)</f>
        <v>513443.02</v>
      </c>
      <c r="M36" s="27">
        <f>VLOOKUP(C36,'[1]Participaciones  Tabla I'!$B$5:$AC$110,11,FALSE)</f>
        <v>337299.46</v>
      </c>
      <c r="N36" s="25">
        <f t="shared" si="5"/>
        <v>850742.48</v>
      </c>
      <c r="O36" s="28">
        <f t="shared" si="6"/>
        <v>6.5974938229868456E-3</v>
      </c>
      <c r="P36" s="29">
        <f t="shared" si="7"/>
        <v>2.177172961585659E-3</v>
      </c>
      <c r="Q36" s="27">
        <f>VLOOKUP(C36,'[1]Participaciones  Tabla I'!$B$5:$AC$110,15,FALSE)</f>
        <v>338298.18</v>
      </c>
      <c r="R36" s="27">
        <f>VLOOKUP(C36,'[1]Participaciones  Tabla I'!$B$5:$AC$110,16,FALSE)</f>
        <v>315744.75</v>
      </c>
      <c r="S36" s="25">
        <f t="shared" si="8"/>
        <v>654042.92999999993</v>
      </c>
      <c r="T36" s="30">
        <f t="shared" si="9"/>
        <v>4.0600328048609911E-3</v>
      </c>
      <c r="U36" s="30">
        <f t="shared" si="10"/>
        <v>1.380411153652737E-3</v>
      </c>
      <c r="V36" s="30">
        <f t="shared" si="11"/>
        <v>6.462749162441171E-3</v>
      </c>
      <c r="W36" s="31">
        <f t="shared" si="12"/>
        <v>2.9082371230985271E-4</v>
      </c>
      <c r="X36" s="30">
        <f t="shared" si="16"/>
        <v>8.1200656097219829E-5</v>
      </c>
      <c r="Y36" s="31">
        <f>VLOOKUP(B36,'[1]Participaciones  Tabla I'!$A$5:$X$110,24,FALSE)</f>
        <v>55.022645544476198</v>
      </c>
      <c r="Z36" s="22">
        <f t="shared" si="17"/>
        <v>35685.263703121345</v>
      </c>
      <c r="AA36" s="33">
        <f t="shared" si="13"/>
        <v>2.3311077262476314E-2</v>
      </c>
      <c r="AB36" s="33">
        <f t="shared" si="18"/>
        <v>5.8277693156190793E-4</v>
      </c>
      <c r="AC36" s="33">
        <f t="shared" si="19"/>
        <v>3.3750000000000004E-3</v>
      </c>
      <c r="AD36" s="34">
        <f t="shared" si="20"/>
        <v>2.019216178433203E-2</v>
      </c>
      <c r="AE36" s="59">
        <f>VLOOKUP(B36,[2]coeficientes!$A:$E,5,0)-AD36</f>
        <v>0</v>
      </c>
      <c r="AF36" s="62"/>
      <c r="AG36" s="62"/>
      <c r="AH36" s="2" t="s">
        <v>149</v>
      </c>
      <c r="AI36" s="2" t="s">
        <v>150</v>
      </c>
      <c r="AJ36" s="2">
        <f t="shared" si="14"/>
        <v>55.022645544476198</v>
      </c>
      <c r="AK36" s="2" t="s">
        <v>151</v>
      </c>
      <c r="AL36" s="2" t="s">
        <v>152</v>
      </c>
      <c r="AM36" s="60">
        <f t="shared" si="15"/>
        <v>28555</v>
      </c>
      <c r="AN36" s="61" t="s">
        <v>153</v>
      </c>
      <c r="AO36" s="2" t="str">
        <f t="shared" si="21"/>
        <v>@((((55.0226455444762+2.44852)*28555/65540751.1074742)))</v>
      </c>
    </row>
    <row r="37" spans="1:41" s="2" customFormat="1" ht="13.5" x14ac:dyDescent="0.2">
      <c r="A37" s="2" t="s">
        <v>185</v>
      </c>
      <c r="B37" s="20">
        <v>41</v>
      </c>
      <c r="C37" s="39" t="s">
        <v>72</v>
      </c>
      <c r="D37" s="22">
        <f>VLOOKUP(B37,'[1]Participaciones  Tabla I'!A$5:C$110,3)</f>
        <v>141939</v>
      </c>
      <c r="E37" s="24">
        <f t="shared" si="0"/>
        <v>0.12319906675658855</v>
      </c>
      <c r="F37" s="24">
        <f t="shared" si="1"/>
        <v>7.884740272421667E-2</v>
      </c>
      <c r="G37" s="25">
        <f>VLOOKUP(C37,'[1]Participaciones  Tabla I'!$B$5:$AC$110,5,FALSE)</f>
        <v>4129589.36</v>
      </c>
      <c r="H37" s="25">
        <f>VLOOKUP(C37,'[1]Participaciones  Tabla I'!$B$5:$AC$110,6,FALSE)</f>
        <v>694300</v>
      </c>
      <c r="I37" s="25">
        <f t="shared" si="2"/>
        <v>4823889.3599999994</v>
      </c>
      <c r="J37" s="26">
        <f t="shared" si="3"/>
        <v>3.6626980748288449E-2</v>
      </c>
      <c r="K37" s="26">
        <f t="shared" si="4"/>
        <v>1.2086903646935189E-2</v>
      </c>
      <c r="L37" s="27">
        <f>VLOOKUP(C37,'[1]Participaciones  Tabla I'!$B$5:$AC$110,10,FALSE)</f>
        <v>4298471.3499999996</v>
      </c>
      <c r="M37" s="27">
        <f>VLOOKUP(C37,'[1]Participaciones  Tabla I'!$B$5:$AC$110,11,FALSE)</f>
        <v>1187340</v>
      </c>
      <c r="N37" s="25">
        <f t="shared" si="5"/>
        <v>5485811.3499999996</v>
      </c>
      <c r="O37" s="28">
        <f t="shared" si="6"/>
        <v>4.2542376038041646E-2</v>
      </c>
      <c r="P37" s="29">
        <f t="shared" si="7"/>
        <v>1.4038984092553743E-2</v>
      </c>
      <c r="Q37" s="27">
        <f>VLOOKUP(C37,'[1]Participaciones  Tabla I'!$B$5:$AC$110,15,FALSE)</f>
        <v>10652098.24</v>
      </c>
      <c r="R37" s="27">
        <f>VLOOKUP(C37,'[1]Participaciones  Tabla I'!$B$5:$AC$110,16,FALSE)</f>
        <v>1767466</v>
      </c>
      <c r="S37" s="25">
        <f t="shared" si="8"/>
        <v>12419564.24</v>
      </c>
      <c r="T37" s="30">
        <f t="shared" si="9"/>
        <v>7.7095609360808282E-2</v>
      </c>
      <c r="U37" s="30">
        <f t="shared" si="10"/>
        <v>2.6212507182674819E-2</v>
      </c>
      <c r="V37" s="30">
        <f t="shared" si="11"/>
        <v>5.2338394922163751E-2</v>
      </c>
      <c r="W37" s="31">
        <f t="shared" si="12"/>
        <v>2.3552277714973687E-3</v>
      </c>
      <c r="X37" s="30">
        <f t="shared" si="16"/>
        <v>1.5419121872161656E-3</v>
      </c>
      <c r="Y37" s="31">
        <f>VLOOKUP(B37,'[1]Participaciones  Tabla I'!$A$5:$X$110,24,FALSE)</f>
        <v>58.122018789171797</v>
      </c>
      <c r="Z37" s="22">
        <f t="shared" si="17"/>
        <v>113328.93265219289</v>
      </c>
      <c r="AA37" s="33">
        <f t="shared" si="13"/>
        <v>7.4031105027203892E-2</v>
      </c>
      <c r="AB37" s="33">
        <f t="shared" si="18"/>
        <v>1.8507776256800974E-3</v>
      </c>
      <c r="AC37" s="33">
        <f t="shared" si="19"/>
        <v>3.3750000000000004E-3</v>
      </c>
      <c r="AD37" s="34">
        <f t="shared" si="20"/>
        <v>8.7970320308610309E-2</v>
      </c>
      <c r="AE37" s="59">
        <f>VLOOKUP(B37,[2]coeficientes!$A:$E,5,0)-AD37</f>
        <v>0</v>
      </c>
      <c r="AF37" s="62"/>
      <c r="AG37" s="62"/>
      <c r="AH37" s="2" t="s">
        <v>149</v>
      </c>
      <c r="AI37" s="2" t="s">
        <v>150</v>
      </c>
      <c r="AJ37" s="2">
        <f t="shared" si="14"/>
        <v>58.122018789171797</v>
      </c>
      <c r="AK37" s="2" t="s">
        <v>151</v>
      </c>
      <c r="AL37" s="2" t="s">
        <v>152</v>
      </c>
      <c r="AM37" s="60">
        <f t="shared" si="15"/>
        <v>141939</v>
      </c>
      <c r="AN37" s="61" t="s">
        <v>153</v>
      </c>
      <c r="AO37" s="2" t="str">
        <f t="shared" si="21"/>
        <v>@((((58.1220187891718+2.44852)*141939/65540751.1074742)))</v>
      </c>
    </row>
    <row r="38" spans="1:41" s="2" customFormat="1" ht="13.5" x14ac:dyDescent="0.2">
      <c r="A38" s="2" t="s">
        <v>186</v>
      </c>
      <c r="B38" s="20">
        <v>42</v>
      </c>
      <c r="C38" s="21" t="s">
        <v>73</v>
      </c>
      <c r="D38" s="22">
        <f>VLOOKUP(B38,'[1]Participaciones  Tabla I'!A$5:C$110,3)</f>
        <v>5553</v>
      </c>
      <c r="E38" s="24">
        <f t="shared" si="0"/>
        <v>4.8198480875540637E-3</v>
      </c>
      <c r="F38" s="24">
        <f t="shared" si="1"/>
        <v>3.0847027760346007E-3</v>
      </c>
      <c r="G38" s="25">
        <f>VLOOKUP(C38,'[1]Participaciones  Tabla I'!$B$5:$AC$110,5,FALSE)</f>
        <v>0</v>
      </c>
      <c r="H38" s="25">
        <f>VLOOKUP(C38,'[1]Participaciones  Tabla I'!$B$5:$AC$110,6,FALSE)</f>
        <v>0</v>
      </c>
      <c r="I38" s="25">
        <f t="shared" si="2"/>
        <v>0</v>
      </c>
      <c r="J38" s="26">
        <f t="shared" si="3"/>
        <v>0</v>
      </c>
      <c r="K38" s="26">
        <f t="shared" si="4"/>
        <v>0</v>
      </c>
      <c r="L38" s="27">
        <f>VLOOKUP(C38,'[1]Participaciones  Tabla I'!$B$5:$AC$110,10,FALSE)</f>
        <v>6000</v>
      </c>
      <c r="M38" s="27">
        <f>VLOOKUP(C38,'[1]Participaciones  Tabla I'!$B$5:$AC$110,11,FALSE)</f>
        <v>10890</v>
      </c>
      <c r="N38" s="25">
        <f t="shared" si="5"/>
        <v>16890</v>
      </c>
      <c r="O38" s="28">
        <f t="shared" si="6"/>
        <v>1.3098166988234538E-4</v>
      </c>
      <c r="P38" s="29">
        <f t="shared" si="7"/>
        <v>4.3223951061173977E-5</v>
      </c>
      <c r="Q38" s="27">
        <f>VLOOKUP(C38,'[1]Participaciones  Tabla I'!$B$5:$AC$110,15,FALSE)</f>
        <v>2825</v>
      </c>
      <c r="R38" s="27">
        <f>VLOOKUP(C38,'[1]Participaciones  Tabla I'!$B$5:$AC$110,16,FALSE)</f>
        <v>15600</v>
      </c>
      <c r="S38" s="25">
        <f t="shared" si="8"/>
        <v>18425</v>
      </c>
      <c r="T38" s="30">
        <f t="shared" si="9"/>
        <v>1.1437491485392828E-4</v>
      </c>
      <c r="U38" s="30">
        <f t="shared" si="10"/>
        <v>3.8887471050335615E-5</v>
      </c>
      <c r="V38" s="30">
        <f t="shared" si="11"/>
        <v>8.2111422111509592E-5</v>
      </c>
      <c r="W38" s="31">
        <f t="shared" si="12"/>
        <v>3.6950139950179315E-6</v>
      </c>
      <c r="X38" s="30">
        <f t="shared" si="16"/>
        <v>2.2874982970785655E-6</v>
      </c>
      <c r="Y38" s="31">
        <f>VLOOKUP(B38,'[1]Participaciones  Tabla I'!$A$5:$X$110,24,FALSE)</f>
        <v>52.537152252264796</v>
      </c>
      <c r="Z38" s="22">
        <f t="shared" si="17"/>
        <v>8949.1627798860682</v>
      </c>
      <c r="AA38" s="33">
        <f t="shared" si="13"/>
        <v>5.8459600223762448E-3</v>
      </c>
      <c r="AB38" s="33">
        <f t="shared" si="18"/>
        <v>1.4614900055940613E-4</v>
      </c>
      <c r="AC38" s="33">
        <f t="shared" si="19"/>
        <v>3.3750000000000004E-3</v>
      </c>
      <c r="AD38" s="34">
        <f t="shared" si="20"/>
        <v>6.6118342888861039E-3</v>
      </c>
      <c r="AE38" s="59">
        <f>VLOOKUP(B38,[2]coeficientes!$A:$E,5,0)-AD38</f>
        <v>0</v>
      </c>
      <c r="AF38" s="62"/>
      <c r="AG38" s="62"/>
      <c r="AH38" s="2" t="s">
        <v>149</v>
      </c>
      <c r="AI38" s="2" t="s">
        <v>150</v>
      </c>
      <c r="AJ38" s="2">
        <f t="shared" si="14"/>
        <v>52.537152252264796</v>
      </c>
      <c r="AK38" s="2" t="s">
        <v>151</v>
      </c>
      <c r="AL38" s="2" t="s">
        <v>152</v>
      </c>
      <c r="AM38" s="60">
        <f t="shared" si="15"/>
        <v>5553</v>
      </c>
      <c r="AN38" s="61" t="s">
        <v>153</v>
      </c>
      <c r="AO38" s="2" t="str">
        <f t="shared" si="21"/>
        <v>@((((52.5371522522648+2.44852)*5553/65540751.1074742)))</v>
      </c>
    </row>
    <row r="39" spans="1:41" s="2" customFormat="1" ht="13.5" x14ac:dyDescent="0.2">
      <c r="A39" s="2" t="s">
        <v>187</v>
      </c>
      <c r="B39" s="20">
        <v>44</v>
      </c>
      <c r="C39" s="21" t="s">
        <v>75</v>
      </c>
      <c r="D39" s="22">
        <f>VLOOKUP(B39,'[1]Participaciones  Tabla I'!A$5:C$110,3)</f>
        <v>7530</v>
      </c>
      <c r="E39" s="24">
        <f t="shared" si="0"/>
        <v>6.5358285790171264E-3</v>
      </c>
      <c r="F39" s="24">
        <f t="shared" si="1"/>
        <v>4.182930290570961E-3</v>
      </c>
      <c r="G39" s="25">
        <f>VLOOKUP(C39,'[1]Participaciones  Tabla I'!$B$5:$AC$110,5,FALSE)</f>
        <v>22691.7</v>
      </c>
      <c r="H39" s="25">
        <f>VLOOKUP(C39,'[1]Participaciones  Tabla I'!$B$5:$AC$110,6,FALSE)</f>
        <v>0</v>
      </c>
      <c r="I39" s="25">
        <f t="shared" si="2"/>
        <v>22691.7</v>
      </c>
      <c r="J39" s="26">
        <f t="shared" si="3"/>
        <v>1.7229426237212397E-4</v>
      </c>
      <c r="K39" s="26">
        <f t="shared" si="4"/>
        <v>5.6857106582800916E-5</v>
      </c>
      <c r="L39" s="27">
        <f>VLOOKUP(C39,'[1]Participaciones  Tabla I'!$B$5:$AC$110,10,FALSE)</f>
        <v>21643.58</v>
      </c>
      <c r="M39" s="27">
        <f>VLOOKUP(C39,'[1]Participaciones  Tabla I'!$B$5:$AC$110,11,FALSE)</f>
        <v>0</v>
      </c>
      <c r="N39" s="25">
        <f t="shared" si="5"/>
        <v>21643.58</v>
      </c>
      <c r="O39" s="28">
        <f t="shared" si="6"/>
        <v>1.6784560394506414E-4</v>
      </c>
      <c r="P39" s="29">
        <f t="shared" si="7"/>
        <v>5.5389049301871167E-5</v>
      </c>
      <c r="Q39" s="27">
        <f>VLOOKUP(C39,'[1]Participaciones  Tabla I'!$B$5:$AC$110,15,FALSE)</f>
        <v>186339</v>
      </c>
      <c r="R39" s="27">
        <f>VLOOKUP(C39,'[1]Participaciones  Tabla I'!$B$5:$AC$110,16,FALSE)</f>
        <v>0</v>
      </c>
      <c r="S39" s="25">
        <f t="shared" si="8"/>
        <v>186339</v>
      </c>
      <c r="T39" s="30">
        <f t="shared" si="9"/>
        <v>1.1567168118841867E-3</v>
      </c>
      <c r="U39" s="30">
        <f t="shared" si="10"/>
        <v>3.9328371604062352E-4</v>
      </c>
      <c r="V39" s="30">
        <f t="shared" si="11"/>
        <v>5.0552987192529564E-4</v>
      </c>
      <c r="W39" s="31">
        <f t="shared" si="12"/>
        <v>2.2748844236638303E-5</v>
      </c>
      <c r="X39" s="30">
        <f t="shared" si="16"/>
        <v>2.3134336237683735E-5</v>
      </c>
      <c r="Y39" s="31">
        <f>VLOOKUP(B39,'[1]Participaciones  Tabla I'!$A$5:$X$110,24,FALSE)</f>
        <v>53.841735650131497</v>
      </c>
      <c r="Z39" s="22">
        <f t="shared" si="17"/>
        <v>10704.973968736624</v>
      </c>
      <c r="AA39" s="33">
        <f t="shared" si="13"/>
        <v>6.9929278750485956E-3</v>
      </c>
      <c r="AB39" s="33">
        <f t="shared" si="18"/>
        <v>1.7482319687621491E-4</v>
      </c>
      <c r="AC39" s="33">
        <f t="shared" si="19"/>
        <v>3.3750000000000004E-3</v>
      </c>
      <c r="AD39" s="34">
        <f t="shared" si="20"/>
        <v>7.7786366679214987E-3</v>
      </c>
      <c r="AE39" s="59">
        <f>VLOOKUP(B39,[2]coeficientes!$A:$E,5,0)-AD39</f>
        <v>0</v>
      </c>
      <c r="AF39" s="62"/>
      <c r="AG39" s="62"/>
      <c r="AH39" s="2" t="s">
        <v>149</v>
      </c>
      <c r="AI39" s="2" t="s">
        <v>150</v>
      </c>
      <c r="AJ39" s="2">
        <f t="shared" si="14"/>
        <v>53.841735650131497</v>
      </c>
      <c r="AK39" s="2" t="s">
        <v>151</v>
      </c>
      <c r="AL39" s="2" t="s">
        <v>152</v>
      </c>
      <c r="AM39" s="60">
        <f t="shared" si="15"/>
        <v>7530</v>
      </c>
      <c r="AN39" s="61" t="s">
        <v>153</v>
      </c>
      <c r="AO39" s="2" t="str">
        <f t="shared" si="21"/>
        <v>@((((53.8417356501315+2.44852)*7530/65540751.1074742)))</v>
      </c>
    </row>
    <row r="40" spans="1:41" s="2" customFormat="1" ht="13.5" x14ac:dyDescent="0.2">
      <c r="A40" s="2" t="s">
        <v>188</v>
      </c>
      <c r="B40" s="20">
        <v>45</v>
      </c>
      <c r="C40" s="21" t="s">
        <v>76</v>
      </c>
      <c r="D40" s="22">
        <f>VLOOKUP(B40,'[1]Participaciones  Tabla I'!A$5:C$110,3)</f>
        <v>2677</v>
      </c>
      <c r="E40" s="24">
        <f t="shared" si="0"/>
        <v>2.3235608374540299E-3</v>
      </c>
      <c r="F40" s="24">
        <f t="shared" si="1"/>
        <v>1.4870789359705792E-3</v>
      </c>
      <c r="G40" s="25">
        <f>VLOOKUP(C40,'[1]Participaciones  Tabla I'!$B$5:$AC$110,5,FALSE)</f>
        <v>13285.3</v>
      </c>
      <c r="H40" s="25">
        <f>VLOOKUP(C40,'[1]Participaciones  Tabla I'!$B$5:$AC$110,6,FALSE)</f>
        <v>2618</v>
      </c>
      <c r="I40" s="25">
        <f t="shared" si="2"/>
        <v>15903.3</v>
      </c>
      <c r="J40" s="26">
        <f t="shared" si="3"/>
        <v>1.2075108267704046E-4</v>
      </c>
      <c r="K40" s="26">
        <f t="shared" si="4"/>
        <v>3.9847857283423354E-5</v>
      </c>
      <c r="L40" s="27">
        <f>VLOOKUP(C40,'[1]Participaciones  Tabla I'!$B$5:$AC$110,10,FALSE)</f>
        <v>21245</v>
      </c>
      <c r="M40" s="27">
        <f>VLOOKUP(C40,'[1]Participaciones  Tabla I'!$B$5:$AC$110,11,FALSE)</f>
        <v>5871</v>
      </c>
      <c r="N40" s="25">
        <f t="shared" si="5"/>
        <v>27116</v>
      </c>
      <c r="O40" s="28">
        <f t="shared" si="6"/>
        <v>2.1028413028594895E-4</v>
      </c>
      <c r="P40" s="29">
        <f t="shared" si="7"/>
        <v>6.9393762994363157E-5</v>
      </c>
      <c r="Q40" s="27">
        <f>VLOOKUP(C40,'[1]Participaciones  Tabla I'!$B$5:$AC$110,15,FALSE)</f>
        <v>12500</v>
      </c>
      <c r="R40" s="27">
        <f>VLOOKUP(C40,'[1]Participaciones  Tabla I'!$B$5:$AC$110,16,FALSE)</f>
        <v>5868</v>
      </c>
      <c r="S40" s="25">
        <f t="shared" si="8"/>
        <v>18368</v>
      </c>
      <c r="T40" s="30">
        <f t="shared" si="9"/>
        <v>1.1402108201014679E-4</v>
      </c>
      <c r="U40" s="30">
        <f t="shared" si="10"/>
        <v>3.8767167883449909E-5</v>
      </c>
      <c r="V40" s="30">
        <f t="shared" si="11"/>
        <v>1.4800878816123643E-4</v>
      </c>
      <c r="W40" s="31">
        <f t="shared" si="12"/>
        <v>6.6603954672556392E-6</v>
      </c>
      <c r="X40" s="30">
        <f t="shared" si="16"/>
        <v>2.2804216402029359E-6</v>
      </c>
      <c r="Y40" s="31">
        <f>VLOOKUP(B40,'[1]Participaciones  Tabla I'!$A$5:$X$110,24,FALSE)</f>
        <v>54.674296035061403</v>
      </c>
      <c r="Z40" s="22">
        <f t="shared" si="17"/>
        <v>3481.2310252588718</v>
      </c>
      <c r="AA40" s="33">
        <f t="shared" si="13"/>
        <v>2.2740828279557029E-3</v>
      </c>
      <c r="AB40" s="33">
        <f t="shared" si="18"/>
        <v>5.6852070698892572E-5</v>
      </c>
      <c r="AC40" s="33">
        <f t="shared" si="19"/>
        <v>3.3750000000000004E-3</v>
      </c>
      <c r="AD40" s="34">
        <f t="shared" si="20"/>
        <v>4.9278718237769307E-3</v>
      </c>
      <c r="AE40" s="59">
        <f>VLOOKUP(B40,[2]coeficientes!$A:$E,5,0)-AD40</f>
        <v>0</v>
      </c>
      <c r="AF40" s="62"/>
      <c r="AG40" s="62"/>
      <c r="AH40" s="2" t="s">
        <v>149</v>
      </c>
      <c r="AI40" s="2" t="s">
        <v>150</v>
      </c>
      <c r="AJ40" s="2">
        <f t="shared" si="14"/>
        <v>54.674296035061403</v>
      </c>
      <c r="AK40" s="2" t="s">
        <v>151</v>
      </c>
      <c r="AL40" s="2" t="s">
        <v>152</v>
      </c>
      <c r="AM40" s="60">
        <f t="shared" si="15"/>
        <v>2677</v>
      </c>
      <c r="AN40" s="61" t="s">
        <v>153</v>
      </c>
      <c r="AO40" s="2" t="str">
        <f t="shared" si="21"/>
        <v>@((((54.6742960350614+2.44852)*2677/65540751.1074742)))</v>
      </c>
    </row>
    <row r="41" spans="1:41" s="2" customFormat="1" ht="13.5" x14ac:dyDescent="0.2">
      <c r="A41" s="2" t="s">
        <v>189</v>
      </c>
      <c r="B41" s="20">
        <v>47</v>
      </c>
      <c r="C41" s="21" t="s">
        <v>78</v>
      </c>
      <c r="D41" s="22">
        <f>VLOOKUP(B41,'[1]Participaciones  Tabla I'!A$5:C$110,3)</f>
        <v>5968</v>
      </c>
      <c r="E41" s="24">
        <f t="shared" si="0"/>
        <v>5.1800564355344234E-3</v>
      </c>
      <c r="F41" s="24">
        <f t="shared" si="1"/>
        <v>3.315236118742031E-3</v>
      </c>
      <c r="G41" s="25">
        <f>VLOOKUP(C41,'[1]Participaciones  Tabla I'!$B$5:$AC$110,5,FALSE)</f>
        <v>42321</v>
      </c>
      <c r="H41" s="25">
        <f>VLOOKUP(C41,'[1]Participaciones  Tabla I'!$B$5:$AC$110,6,FALSE)</f>
        <v>0</v>
      </c>
      <c r="I41" s="25">
        <f t="shared" si="2"/>
        <v>42321</v>
      </c>
      <c r="J41" s="26">
        <f t="shared" si="3"/>
        <v>3.2133623650280316E-4</v>
      </c>
      <c r="K41" s="26">
        <f t="shared" si="4"/>
        <v>1.0604095804592504E-4</v>
      </c>
      <c r="L41" s="27">
        <f>VLOOKUP(C41,'[1]Participaciones  Tabla I'!$B$5:$AC$110,10,FALSE)</f>
        <v>17118</v>
      </c>
      <c r="M41" s="27">
        <f>VLOOKUP(C41,'[1]Participaciones  Tabla I'!$B$5:$AC$110,11,FALSE)</f>
        <v>7670</v>
      </c>
      <c r="N41" s="25">
        <f t="shared" si="5"/>
        <v>24788</v>
      </c>
      <c r="O41" s="28">
        <f t="shared" si="6"/>
        <v>1.9223052889541606E-4</v>
      </c>
      <c r="P41" s="29">
        <f t="shared" si="7"/>
        <v>6.34360745354873E-5</v>
      </c>
      <c r="Q41" s="27">
        <f>VLOOKUP(C41,'[1]Participaciones  Tabla I'!$B$5:$AC$110,15,FALSE)</f>
        <v>20175</v>
      </c>
      <c r="R41" s="27">
        <f>VLOOKUP(C41,'[1]Participaciones  Tabla I'!$B$5:$AC$110,16,FALSE)</f>
        <v>46996</v>
      </c>
      <c r="S41" s="25">
        <f t="shared" si="8"/>
        <v>67171</v>
      </c>
      <c r="T41" s="30">
        <f t="shared" si="9"/>
        <v>4.1697027981835638E-4</v>
      </c>
      <c r="U41" s="30">
        <f t="shared" si="10"/>
        <v>1.4176989513824118E-4</v>
      </c>
      <c r="V41" s="30">
        <f t="shared" si="11"/>
        <v>3.1124692771965353E-4</v>
      </c>
      <c r="W41" s="31">
        <f t="shared" si="12"/>
        <v>1.4006111747384408E-5</v>
      </c>
      <c r="X41" s="30">
        <f t="shared" si="16"/>
        <v>8.3394055963671283E-6</v>
      </c>
      <c r="Y41" s="31">
        <f>VLOOKUP(B41,'[1]Participaciones  Tabla I'!$A$5:$X$110,24,FALSE)</f>
        <v>51.998224769065899</v>
      </c>
      <c r="Z41" s="22">
        <f t="shared" si="17"/>
        <v>10086.268970588053</v>
      </c>
      <c r="AA41" s="33">
        <f t="shared" si="13"/>
        <v>6.5887644048131201E-3</v>
      </c>
      <c r="AB41" s="33">
        <f t="shared" si="18"/>
        <v>1.6471911012032802E-4</v>
      </c>
      <c r="AC41" s="33">
        <f t="shared" si="19"/>
        <v>3.3750000000000004E-3</v>
      </c>
      <c r="AD41" s="34">
        <f t="shared" si="20"/>
        <v>6.877300746206111E-3</v>
      </c>
      <c r="AE41" s="59">
        <f>VLOOKUP(B41,[2]coeficientes!$A:$E,5,0)-AD41</f>
        <v>0</v>
      </c>
      <c r="AF41" s="62"/>
      <c r="AG41" s="62"/>
      <c r="AH41" s="2" t="s">
        <v>149</v>
      </c>
      <c r="AI41" s="2" t="s">
        <v>150</v>
      </c>
      <c r="AJ41" s="2">
        <f t="shared" si="14"/>
        <v>51.998224769065899</v>
      </c>
      <c r="AK41" s="2" t="s">
        <v>151</v>
      </c>
      <c r="AL41" s="2" t="s">
        <v>152</v>
      </c>
      <c r="AM41" s="60">
        <f t="shared" si="15"/>
        <v>5968</v>
      </c>
      <c r="AN41" s="61" t="s">
        <v>153</v>
      </c>
      <c r="AO41" s="2" t="str">
        <f t="shared" si="21"/>
        <v>@((((51.9982247690659+2.44852)*5968/65540751.1074742)))</v>
      </c>
    </row>
    <row r="42" spans="1:41" s="2" customFormat="1" ht="13.5" x14ac:dyDescent="0.2">
      <c r="A42" s="2" t="s">
        <v>190</v>
      </c>
      <c r="B42" s="20">
        <v>48</v>
      </c>
      <c r="C42" s="21" t="s">
        <v>79</v>
      </c>
      <c r="D42" s="22">
        <f>VLOOKUP(B42,'[1]Participaciones  Tabla I'!A$5:C$110,3)</f>
        <v>23991</v>
      </c>
      <c r="E42" s="24">
        <f t="shared" si="0"/>
        <v>2.0823514400956158E-2</v>
      </c>
      <c r="F42" s="24">
        <f t="shared" si="1"/>
        <v>1.3327049216611942E-2</v>
      </c>
      <c r="G42" s="25">
        <f>VLOOKUP(C42,'[1]Participaciones  Tabla I'!$B$5:$AC$110,5,FALSE)</f>
        <v>167807</v>
      </c>
      <c r="H42" s="25">
        <f>VLOOKUP(C42,'[1]Participaciones  Tabla I'!$B$5:$AC$110,6,FALSE)</f>
        <v>520110</v>
      </c>
      <c r="I42" s="25">
        <f t="shared" si="2"/>
        <v>687917</v>
      </c>
      <c r="J42" s="26">
        <f t="shared" si="3"/>
        <v>5.2232381041633904E-3</v>
      </c>
      <c r="K42" s="26">
        <f t="shared" si="4"/>
        <v>1.7236685743739189E-3</v>
      </c>
      <c r="L42" s="27">
        <f>VLOOKUP(C42,'[1]Participaciones  Tabla I'!$B$5:$AC$110,10,FALSE)</f>
        <v>39453.5</v>
      </c>
      <c r="M42" s="27">
        <f>VLOOKUP(C42,'[1]Participaciones  Tabla I'!$B$5:$AC$110,11,FALSE)</f>
        <v>202593</v>
      </c>
      <c r="N42" s="25">
        <f t="shared" si="5"/>
        <v>242046.5</v>
      </c>
      <c r="O42" s="28">
        <f t="shared" si="6"/>
        <v>1.8770665932017238E-3</v>
      </c>
      <c r="P42" s="29">
        <f t="shared" si="7"/>
        <v>6.194319757565689E-4</v>
      </c>
      <c r="Q42" s="27">
        <f>VLOOKUP(C42,'[1]Participaciones  Tabla I'!$B$5:$AC$110,15,FALSE)</f>
        <v>66907.5</v>
      </c>
      <c r="R42" s="27">
        <f>VLOOKUP(C42,'[1]Participaciones  Tabla I'!$B$5:$AC$110,16,FALSE)</f>
        <v>70232.5</v>
      </c>
      <c r="S42" s="25">
        <f t="shared" si="8"/>
        <v>137140</v>
      </c>
      <c r="T42" s="30">
        <f t="shared" si="9"/>
        <v>8.5130940695075843E-4</v>
      </c>
      <c r="U42" s="30">
        <f t="shared" si="10"/>
        <v>2.8944519836325789E-4</v>
      </c>
      <c r="V42" s="30">
        <f t="shared" si="11"/>
        <v>2.6325457484937457E-3</v>
      </c>
      <c r="W42" s="31">
        <f t="shared" si="12"/>
        <v>1.1846455868221855E-4</v>
      </c>
      <c r="X42" s="30">
        <f t="shared" si="16"/>
        <v>1.702618813901517E-5</v>
      </c>
      <c r="Y42" s="31">
        <f>VLOOKUP(B42,'[1]Participaciones  Tabla I'!$A$5:$X$110,24,FALSE)</f>
        <v>53.775413786012997</v>
      </c>
      <c r="Z42" s="22">
        <f t="shared" si="17"/>
        <v>34338.312368381339</v>
      </c>
      <c r="AA42" s="33">
        <f t="shared" si="13"/>
        <v>2.2431193428798114E-2</v>
      </c>
      <c r="AB42" s="33">
        <f t="shared" si="18"/>
        <v>5.6077983571995284E-4</v>
      </c>
      <c r="AC42" s="33">
        <f t="shared" si="19"/>
        <v>3.3750000000000004E-3</v>
      </c>
      <c r="AD42" s="34">
        <f t="shared" si="20"/>
        <v>1.7398319799153128E-2</v>
      </c>
      <c r="AE42" s="59">
        <f>VLOOKUP(B42,[2]coeficientes!$A:$E,5,0)-AD42</f>
        <v>0</v>
      </c>
      <c r="AF42" s="62"/>
      <c r="AG42" s="62"/>
      <c r="AH42" s="2" t="s">
        <v>149</v>
      </c>
      <c r="AI42" s="2" t="s">
        <v>150</v>
      </c>
      <c r="AJ42" s="2">
        <f t="shared" si="14"/>
        <v>53.775413786012997</v>
      </c>
      <c r="AK42" s="2" t="s">
        <v>151</v>
      </c>
      <c r="AL42" s="2" t="s">
        <v>152</v>
      </c>
      <c r="AM42" s="60">
        <f t="shared" si="15"/>
        <v>23991</v>
      </c>
      <c r="AN42" s="61" t="s">
        <v>153</v>
      </c>
      <c r="AO42" s="2" t="str">
        <f t="shared" si="21"/>
        <v>@((((53.775413786013+2.44852)*23991/65540751.1074742)))</v>
      </c>
    </row>
    <row r="43" spans="1:41" s="2" customFormat="1" ht="13.5" x14ac:dyDescent="0.2">
      <c r="A43" s="2" t="s">
        <v>191</v>
      </c>
      <c r="B43" s="20">
        <v>49</v>
      </c>
      <c r="C43" s="21" t="s">
        <v>80</v>
      </c>
      <c r="D43" s="22">
        <f>VLOOKUP(B43,'[1]Participaciones  Tabla I'!A$5:C$110,3)</f>
        <v>3965</v>
      </c>
      <c r="E43" s="24">
        <f t="shared" si="0"/>
        <v>3.4415086740774109E-3</v>
      </c>
      <c r="F43" s="24">
        <f t="shared" si="1"/>
        <v>2.2025655514095431E-3</v>
      </c>
      <c r="G43" s="25">
        <f>VLOOKUP(C43,'[1]Participaciones  Tabla I'!$B$5:$AC$110,5,FALSE)</f>
        <v>0</v>
      </c>
      <c r="H43" s="25">
        <f>VLOOKUP(C43,'[1]Participaciones  Tabla I'!$B$5:$AC$110,6,FALSE)</f>
        <v>0</v>
      </c>
      <c r="I43" s="25">
        <f t="shared" si="2"/>
        <v>0</v>
      </c>
      <c r="J43" s="26">
        <f t="shared" si="3"/>
        <v>0</v>
      </c>
      <c r="K43" s="26">
        <f t="shared" si="4"/>
        <v>0</v>
      </c>
      <c r="L43" s="27">
        <f>VLOOKUP(C43,'[1]Participaciones  Tabla I'!$B$5:$AC$110,10,FALSE)</f>
        <v>0</v>
      </c>
      <c r="M43" s="27">
        <f>VLOOKUP(C43,'[1]Participaciones  Tabla I'!$B$5:$AC$110,11,FALSE)</f>
        <v>0</v>
      </c>
      <c r="N43" s="25">
        <f t="shared" si="5"/>
        <v>0</v>
      </c>
      <c r="O43" s="28">
        <f t="shared" si="6"/>
        <v>0</v>
      </c>
      <c r="P43" s="29">
        <f t="shared" si="7"/>
        <v>0</v>
      </c>
      <c r="Q43" s="27">
        <f>VLOOKUP(C43,'[1]Participaciones  Tabla I'!$B$5:$AC$110,15,FALSE)</f>
        <v>0</v>
      </c>
      <c r="R43" s="27">
        <f>VLOOKUP(C43,'[1]Participaciones  Tabla I'!$B$5:$AC$110,16,FALSE)</f>
        <v>0</v>
      </c>
      <c r="S43" s="25">
        <f t="shared" si="8"/>
        <v>0</v>
      </c>
      <c r="T43" s="30">
        <f t="shared" si="9"/>
        <v>0</v>
      </c>
      <c r="U43" s="30">
        <f t="shared" si="10"/>
        <v>0</v>
      </c>
      <c r="V43" s="30">
        <f t="shared" si="11"/>
        <v>0</v>
      </c>
      <c r="W43" s="31">
        <f t="shared" si="12"/>
        <v>0</v>
      </c>
      <c r="X43" s="30">
        <f t="shared" si="16"/>
        <v>0</v>
      </c>
      <c r="Y43" s="31">
        <f>VLOOKUP(B43,'[1]Participaciones  Tabla I'!$A$5:$X$110,24,FALSE)</f>
        <v>46.505398692223501</v>
      </c>
      <c r="Z43" s="22">
        <f t="shared" si="17"/>
        <v>9872.1123133845995</v>
      </c>
      <c r="AA43" s="33">
        <f t="shared" si="13"/>
        <v>6.4488684964102714E-3</v>
      </c>
      <c r="AB43" s="33">
        <f t="shared" si="18"/>
        <v>1.6122171241025678E-4</v>
      </c>
      <c r="AC43" s="33">
        <f t="shared" si="19"/>
        <v>3.3750000000000004E-3</v>
      </c>
      <c r="AD43" s="34">
        <f t="shared" si="20"/>
        <v>5.7387872638197997E-3</v>
      </c>
      <c r="AE43" s="59">
        <f>VLOOKUP(B43,[2]coeficientes!$A:$E,5,0)-AD43</f>
        <v>0</v>
      </c>
      <c r="AF43" s="62"/>
      <c r="AG43" s="62"/>
      <c r="AH43" s="2" t="s">
        <v>149</v>
      </c>
      <c r="AI43" s="2" t="s">
        <v>150</v>
      </c>
      <c r="AJ43" s="2">
        <f t="shared" si="14"/>
        <v>46.505398692223501</v>
      </c>
      <c r="AK43" s="2" t="s">
        <v>151</v>
      </c>
      <c r="AL43" s="2" t="s">
        <v>152</v>
      </c>
      <c r="AM43" s="60">
        <f t="shared" si="15"/>
        <v>3965</v>
      </c>
      <c r="AN43" s="61" t="s">
        <v>153</v>
      </c>
      <c r="AO43" s="2" t="str">
        <f t="shared" si="21"/>
        <v>@((((46.5053986922235+2.44852)*3965/65540751.1074742)))</v>
      </c>
    </row>
    <row r="44" spans="1:41" s="2" customFormat="1" ht="13.5" x14ac:dyDescent="0.2">
      <c r="A44" s="2" t="s">
        <v>192</v>
      </c>
      <c r="B44" s="20">
        <v>52</v>
      </c>
      <c r="C44" s="39" t="s">
        <v>83</v>
      </c>
      <c r="D44" s="22">
        <f>VLOOKUP(B44,'[1]Participaciones  Tabla I'!A$5:C$110,3)</f>
        <v>37804</v>
      </c>
      <c r="E44" s="24">
        <f t="shared" si="0"/>
        <v>3.2812810571203645E-2</v>
      </c>
      <c r="F44" s="24">
        <f t="shared" si="1"/>
        <v>2.1000198765570334E-2</v>
      </c>
      <c r="G44" s="25">
        <f>VLOOKUP(C44,'[1]Participaciones  Tabla I'!$B$5:$AC$110,5,FALSE)</f>
        <v>819362.56</v>
      </c>
      <c r="H44" s="25">
        <f>VLOOKUP(C44,'[1]Participaciones  Tabla I'!$B$5:$AC$110,6,FALSE)</f>
        <v>3556047.81</v>
      </c>
      <c r="I44" s="25">
        <f t="shared" si="2"/>
        <v>4375410.37</v>
      </c>
      <c r="J44" s="26">
        <f t="shared" si="3"/>
        <v>3.3221755191303076E-2</v>
      </c>
      <c r="K44" s="26">
        <f t="shared" si="4"/>
        <v>1.0963179213130015E-2</v>
      </c>
      <c r="L44" s="27">
        <f>VLOOKUP(C44,'[1]Participaciones  Tabla I'!$B$5:$AC$110,10,FALSE)</f>
        <v>702225.62</v>
      </c>
      <c r="M44" s="27">
        <f>VLOOKUP(C44,'[1]Participaciones  Tabla I'!$B$5:$AC$110,11,FALSE)</f>
        <v>3779870.17</v>
      </c>
      <c r="N44" s="25">
        <f t="shared" si="5"/>
        <v>4482095.79</v>
      </c>
      <c r="O44" s="28">
        <f t="shared" si="6"/>
        <v>3.4758578516686206E-2</v>
      </c>
      <c r="P44" s="29">
        <f t="shared" si="7"/>
        <v>1.1470330910506449E-2</v>
      </c>
      <c r="Q44" s="27">
        <f>VLOOKUP(C44,'[1]Participaciones  Tabla I'!$B$5:$AC$110,15,FALSE)</f>
        <v>817534.17</v>
      </c>
      <c r="R44" s="27">
        <f>VLOOKUP(C44,'[1]Participaciones  Tabla I'!$B$5:$AC$110,16,FALSE)</f>
        <v>4136638.31</v>
      </c>
      <c r="S44" s="25">
        <f t="shared" si="8"/>
        <v>4954172.4800000004</v>
      </c>
      <c r="T44" s="30">
        <f t="shared" si="9"/>
        <v>3.0753490126006769E-2</v>
      </c>
      <c r="U44" s="30">
        <f t="shared" si="10"/>
        <v>1.0456186642842303E-2</v>
      </c>
      <c r="V44" s="30">
        <f t="shared" si="11"/>
        <v>3.2889696766478765E-2</v>
      </c>
      <c r="W44" s="31">
        <f t="shared" si="12"/>
        <v>1.4800363544915443E-3</v>
      </c>
      <c r="X44" s="30">
        <f t="shared" si="16"/>
        <v>6.150698025201354E-4</v>
      </c>
      <c r="Y44" s="31">
        <f>VLOOKUP(B44,'[1]Participaciones  Tabla I'!$A$5:$X$110,24,FALSE)</f>
        <v>55.383877812184501</v>
      </c>
      <c r="Z44" s="22">
        <f t="shared" si="17"/>
        <v>45255.44779219856</v>
      </c>
      <c r="AA44" s="33">
        <f t="shared" si="13"/>
        <v>2.9562713864424332E-2</v>
      </c>
      <c r="AB44" s="33">
        <f t="shared" si="18"/>
        <v>7.3906784661060838E-4</v>
      </c>
      <c r="AC44" s="33">
        <f t="shared" si="19"/>
        <v>3.3750000000000004E-3</v>
      </c>
      <c r="AD44" s="34">
        <f t="shared" si="20"/>
        <v>2.7209372769192622E-2</v>
      </c>
      <c r="AE44" s="59">
        <f>VLOOKUP(B44,[2]coeficientes!$A:$E,5,0)-AD44</f>
        <v>0</v>
      </c>
      <c r="AF44" s="62"/>
      <c r="AG44" s="62"/>
      <c r="AH44" s="2" t="s">
        <v>149</v>
      </c>
      <c r="AI44" s="2" t="s">
        <v>150</v>
      </c>
      <c r="AJ44" s="2">
        <f t="shared" si="14"/>
        <v>55.383877812184501</v>
      </c>
      <c r="AK44" s="2" t="s">
        <v>151</v>
      </c>
      <c r="AL44" s="2" t="s">
        <v>152</v>
      </c>
      <c r="AM44" s="60">
        <f t="shared" si="15"/>
        <v>37804</v>
      </c>
      <c r="AN44" s="61" t="s">
        <v>153</v>
      </c>
      <c r="AO44" s="2" t="str">
        <f t="shared" si="21"/>
        <v>@((((55.3838778121845+2.44852)*37804/65540751.1074742)))</v>
      </c>
    </row>
    <row r="45" spans="1:41" s="2" customFormat="1" ht="13.5" x14ac:dyDescent="0.2">
      <c r="A45" s="2" t="s">
        <v>193</v>
      </c>
      <c r="B45" s="20">
        <v>53</v>
      </c>
      <c r="C45" s="21" t="s">
        <v>84</v>
      </c>
      <c r="D45" s="22">
        <f>VLOOKUP(B45,'[1]Participaciones  Tabla I'!A$5:C$110,3)</f>
        <v>13494</v>
      </c>
      <c r="E45" s="24">
        <f t="shared" si="0"/>
        <v>1.1712413126860173E-2</v>
      </c>
      <c r="F45" s="24">
        <f t="shared" si="1"/>
        <v>7.4959444011905105E-3</v>
      </c>
      <c r="G45" s="25">
        <f>VLOOKUP(C45,'[1]Participaciones  Tabla I'!$B$5:$AC$110,5,FALSE)</f>
        <v>114853.17</v>
      </c>
      <c r="H45" s="25">
        <f>VLOOKUP(C45,'[1]Participaciones  Tabla I'!$B$5:$AC$110,6,FALSE)</f>
        <v>170468.5</v>
      </c>
      <c r="I45" s="25">
        <f t="shared" si="2"/>
        <v>285321.67</v>
      </c>
      <c r="J45" s="26">
        <f t="shared" si="3"/>
        <v>2.1663994619809256E-3</v>
      </c>
      <c r="K45" s="26">
        <f t="shared" si="4"/>
        <v>7.1491182245370544E-4</v>
      </c>
      <c r="L45" s="27">
        <f>VLOOKUP(C45,'[1]Participaciones  Tabla I'!$B$5:$AC$110,10,FALSE)</f>
        <v>107082.86</v>
      </c>
      <c r="M45" s="27">
        <f>VLOOKUP(C45,'[1]Participaciones  Tabla I'!$B$5:$AC$110,11,FALSE)</f>
        <v>148712</v>
      </c>
      <c r="N45" s="25">
        <f t="shared" si="5"/>
        <v>255794.86</v>
      </c>
      <c r="O45" s="28">
        <f t="shared" si="6"/>
        <v>1.9836848969876112E-3</v>
      </c>
      <c r="P45" s="29">
        <f t="shared" si="7"/>
        <v>6.5461601600591177E-4</v>
      </c>
      <c r="Q45" s="27">
        <f>VLOOKUP(C45,'[1]Participaciones  Tabla I'!$B$5:$AC$110,15,FALSE)</f>
        <v>132395.34</v>
      </c>
      <c r="R45" s="27">
        <f>VLOOKUP(C45,'[1]Participaciones  Tabla I'!$B$5:$AC$110,16,FALSE)</f>
        <v>96550</v>
      </c>
      <c r="S45" s="25">
        <f t="shared" si="8"/>
        <v>228945.34</v>
      </c>
      <c r="T45" s="30">
        <f t="shared" si="9"/>
        <v>1.4211996618020983E-3</v>
      </c>
      <c r="U45" s="30">
        <f t="shared" si="10"/>
        <v>4.8320788501271343E-4</v>
      </c>
      <c r="V45" s="30">
        <f t="shared" si="11"/>
        <v>1.8527357234723305E-3</v>
      </c>
      <c r="W45" s="31">
        <f t="shared" si="12"/>
        <v>8.3373107556254867E-5</v>
      </c>
      <c r="X45" s="30">
        <f t="shared" si="16"/>
        <v>2.8423993236041965E-5</v>
      </c>
      <c r="Y45" s="31">
        <f>VLOOKUP(B45,'[1]Participaciones  Tabla I'!$A$5:$X$110,24,FALSE)</f>
        <v>55.289821135970499</v>
      </c>
      <c r="Z45" s="22">
        <f t="shared" si="17"/>
        <v>16338.562762880752</v>
      </c>
      <c r="AA45" s="33">
        <f t="shared" si="13"/>
        <v>1.067301903922928E-2</v>
      </c>
      <c r="AB45" s="33">
        <f t="shared" si="18"/>
        <v>2.6682547598073204E-4</v>
      </c>
      <c r="AC45" s="33">
        <f t="shared" si="19"/>
        <v>3.3750000000000004E-3</v>
      </c>
      <c r="AD45" s="34">
        <f t="shared" si="20"/>
        <v>1.1249566977963539E-2</v>
      </c>
      <c r="AE45" s="59">
        <f>VLOOKUP(B45,[2]coeficientes!$A:$E,5,0)-AD45</f>
        <v>0</v>
      </c>
      <c r="AF45" s="62"/>
      <c r="AG45" s="62"/>
      <c r="AH45" s="2" t="s">
        <v>149</v>
      </c>
      <c r="AI45" s="2" t="s">
        <v>150</v>
      </c>
      <c r="AJ45" s="2">
        <f t="shared" si="14"/>
        <v>55.289821135970499</v>
      </c>
      <c r="AK45" s="2" t="s">
        <v>151</v>
      </c>
      <c r="AL45" s="2" t="s">
        <v>152</v>
      </c>
      <c r="AM45" s="60">
        <f t="shared" si="15"/>
        <v>13494</v>
      </c>
      <c r="AN45" s="61" t="s">
        <v>153</v>
      </c>
      <c r="AO45" s="2" t="str">
        <f t="shared" si="21"/>
        <v>@((((55.2898211359705+2.44852)*13494/65540751.1074742)))</v>
      </c>
    </row>
    <row r="46" spans="1:41" s="2" customFormat="1" ht="13.5" x14ac:dyDescent="0.2">
      <c r="A46" s="2" t="s">
        <v>194</v>
      </c>
      <c r="B46" s="20">
        <v>54</v>
      </c>
      <c r="C46" s="21" t="s">
        <v>85</v>
      </c>
      <c r="D46" s="22">
        <f>VLOOKUP(B46,'[1]Participaciones  Tabla I'!A$5:C$110,3)</f>
        <v>2990</v>
      </c>
      <c r="E46" s="24">
        <f t="shared" si="0"/>
        <v>2.5952360493042771E-3</v>
      </c>
      <c r="F46" s="24">
        <f t="shared" si="1"/>
        <v>1.6609510715547373E-3</v>
      </c>
      <c r="G46" s="25">
        <f>VLOOKUP(C46,'[1]Participaciones  Tabla I'!$B$5:$AC$110,5,FALSE)</f>
        <v>73873</v>
      </c>
      <c r="H46" s="25">
        <f>VLOOKUP(C46,'[1]Participaciones  Tabla I'!$B$5:$AC$110,6,FALSE)</f>
        <v>0</v>
      </c>
      <c r="I46" s="25">
        <f t="shared" si="2"/>
        <v>73873</v>
      </c>
      <c r="J46" s="26">
        <f t="shared" si="3"/>
        <v>5.6090526686920392E-4</v>
      </c>
      <c r="K46" s="26">
        <f t="shared" si="4"/>
        <v>1.850987380668373E-4</v>
      </c>
      <c r="L46" s="27">
        <f>VLOOKUP(C46,'[1]Participaciones  Tabla I'!$B$5:$AC$110,10,FALSE)</f>
        <v>25239</v>
      </c>
      <c r="M46" s="27">
        <f>VLOOKUP(C46,'[1]Participaciones  Tabla I'!$B$5:$AC$110,11,FALSE)</f>
        <v>0</v>
      </c>
      <c r="N46" s="25">
        <f t="shared" si="5"/>
        <v>25239</v>
      </c>
      <c r="O46" s="28">
        <f t="shared" si="6"/>
        <v>1.9572802641566105E-4</v>
      </c>
      <c r="P46" s="29">
        <f t="shared" si="7"/>
        <v>6.4590248717168148E-5</v>
      </c>
      <c r="Q46" s="27">
        <f>VLOOKUP(C46,'[1]Participaciones  Tabla I'!$B$5:$AC$110,15,FALSE)</f>
        <v>34082.019999999997</v>
      </c>
      <c r="R46" s="27">
        <f>VLOOKUP(C46,'[1]Participaciones  Tabla I'!$B$5:$AC$110,16,FALSE)</f>
        <v>0</v>
      </c>
      <c r="S46" s="25">
        <f t="shared" si="8"/>
        <v>34082.019999999997</v>
      </c>
      <c r="T46" s="30">
        <f t="shared" si="9"/>
        <v>2.1156733435820246E-4</v>
      </c>
      <c r="U46" s="30">
        <f t="shared" si="10"/>
        <v>7.1932893681788838E-5</v>
      </c>
      <c r="V46" s="30">
        <f t="shared" si="11"/>
        <v>3.2162188046579426E-4</v>
      </c>
      <c r="W46" s="31">
        <f t="shared" si="12"/>
        <v>1.4472984620960741E-5</v>
      </c>
      <c r="X46" s="30">
        <f t="shared" si="16"/>
        <v>4.2313466871640492E-6</v>
      </c>
      <c r="Y46" s="31">
        <f>VLOOKUP(B46,'[1]Participaciones  Tabla I'!$A$5:$X$110,24,FALSE)</f>
        <v>53.925003128932701</v>
      </c>
      <c r="Z46" s="22">
        <f t="shared" si="17"/>
        <v>4214.4634378379196</v>
      </c>
      <c r="AA46" s="33">
        <f t="shared" si="13"/>
        <v>2.753060300650883E-3</v>
      </c>
      <c r="AB46" s="33">
        <f t="shared" si="18"/>
        <v>6.8826507516272072E-5</v>
      </c>
      <c r="AC46" s="33">
        <f t="shared" si="19"/>
        <v>3.3750000000000004E-3</v>
      </c>
      <c r="AD46" s="34">
        <f t="shared" si="20"/>
        <v>5.1234819103791341E-3</v>
      </c>
      <c r="AE46" s="59">
        <f>VLOOKUP(B46,[2]coeficientes!$A:$E,5,0)-AD46</f>
        <v>0</v>
      </c>
      <c r="AF46" s="62"/>
      <c r="AG46" s="62"/>
      <c r="AH46" s="2" t="s">
        <v>149</v>
      </c>
      <c r="AI46" s="2" t="s">
        <v>150</v>
      </c>
      <c r="AJ46" s="2">
        <f t="shared" si="14"/>
        <v>53.925003128932701</v>
      </c>
      <c r="AK46" s="2" t="s">
        <v>151</v>
      </c>
      <c r="AL46" s="2" t="s">
        <v>152</v>
      </c>
      <c r="AM46" s="60">
        <f t="shared" si="15"/>
        <v>2990</v>
      </c>
      <c r="AN46" s="61" t="s">
        <v>153</v>
      </c>
      <c r="AO46" s="2" t="str">
        <f t="shared" si="21"/>
        <v>@((((53.9250031289327+2.44852)*2990/65540751.1074742)))</v>
      </c>
    </row>
    <row r="47" spans="1:41" s="2" customFormat="1" ht="13.5" x14ac:dyDescent="0.2">
      <c r="A47" s="2" t="s">
        <v>195</v>
      </c>
      <c r="B47" s="20">
        <v>57</v>
      </c>
      <c r="C47" s="21" t="s">
        <v>88</v>
      </c>
      <c r="D47" s="22">
        <f>VLOOKUP(B47,'[1]Participaciones  Tabla I'!A$5:C$110,3)</f>
        <v>7766</v>
      </c>
      <c r="E47" s="24">
        <f t="shared" si="0"/>
        <v>6.7406699528083664E-3</v>
      </c>
      <c r="F47" s="24">
        <f t="shared" si="1"/>
        <v>4.3140287697973545E-3</v>
      </c>
      <c r="G47" s="25">
        <f>VLOOKUP(C47,'[1]Participaciones  Tabla I'!$B$5:$AC$110,5,FALSE)</f>
        <v>291907</v>
      </c>
      <c r="H47" s="25">
        <f>VLOOKUP(C47,'[1]Participaciones  Tabla I'!$B$5:$AC$110,6,FALSE)</f>
        <v>248611</v>
      </c>
      <c r="I47" s="25">
        <f t="shared" si="2"/>
        <v>540518</v>
      </c>
      <c r="J47" s="26">
        <f t="shared" si="3"/>
        <v>4.1040622830751201E-3</v>
      </c>
      <c r="K47" s="26">
        <f t="shared" si="4"/>
        <v>1.3543405534147898E-3</v>
      </c>
      <c r="L47" s="27">
        <f>VLOOKUP(C47,'[1]Participaciones  Tabla I'!$B$5:$AC$110,10,FALSE)</f>
        <v>272207</v>
      </c>
      <c r="M47" s="27">
        <f>VLOOKUP(C47,'[1]Participaciones  Tabla I'!$B$5:$AC$110,11,FALSE)</f>
        <v>163474</v>
      </c>
      <c r="N47" s="25">
        <f t="shared" si="5"/>
        <v>435681</v>
      </c>
      <c r="O47" s="28">
        <f t="shared" si="6"/>
        <v>3.3786989293078818E-3</v>
      </c>
      <c r="P47" s="29">
        <f t="shared" si="7"/>
        <v>1.1149706466716011E-3</v>
      </c>
      <c r="Q47" s="27">
        <f>VLOOKUP(C47,'[1]Participaciones  Tabla I'!$B$5:$AC$110,15,FALSE)</f>
        <v>262459</v>
      </c>
      <c r="R47" s="27">
        <f>VLOOKUP(C47,'[1]Participaciones  Tabla I'!$B$5:$AC$110,16,FALSE)</f>
        <v>250073</v>
      </c>
      <c r="S47" s="25">
        <f t="shared" si="8"/>
        <v>512532</v>
      </c>
      <c r="T47" s="30">
        <f t="shared" si="9"/>
        <v>3.1815904401581311E-3</v>
      </c>
      <c r="U47" s="30">
        <f t="shared" si="10"/>
        <v>1.0817407496537647E-3</v>
      </c>
      <c r="V47" s="30">
        <f t="shared" si="11"/>
        <v>3.5510519497401558E-3</v>
      </c>
      <c r="W47" s="31">
        <f t="shared" si="12"/>
        <v>1.5979733773830701E-4</v>
      </c>
      <c r="X47" s="30">
        <f t="shared" si="16"/>
        <v>6.3631808803162629E-5</v>
      </c>
      <c r="Y47" s="31">
        <f>VLOOKUP(B47,'[1]Participaciones  Tabla I'!$A$5:$X$110,24,FALSE)</f>
        <v>54.5529252086478</v>
      </c>
      <c r="Z47" s="22">
        <f t="shared" si="17"/>
        <v>10236.318699995747</v>
      </c>
      <c r="AA47" s="33">
        <f t="shared" si="13"/>
        <v>6.6867830397470259E-3</v>
      </c>
      <c r="AB47" s="33">
        <f t="shared" si="18"/>
        <v>1.6716957599367566E-4</v>
      </c>
      <c r="AC47" s="33">
        <f t="shared" si="19"/>
        <v>3.3750000000000004E-3</v>
      </c>
      <c r="AD47" s="34">
        <f t="shared" si="20"/>
        <v>8.0796274923325001E-3</v>
      </c>
      <c r="AE47" s="59">
        <f>VLOOKUP(B47,[2]coeficientes!$A:$E,5,0)-AD47</f>
        <v>0</v>
      </c>
      <c r="AF47" s="62"/>
      <c r="AG47" s="62"/>
      <c r="AH47" s="2" t="s">
        <v>149</v>
      </c>
      <c r="AI47" s="2" t="s">
        <v>150</v>
      </c>
      <c r="AJ47" s="2">
        <f t="shared" si="14"/>
        <v>54.5529252086478</v>
      </c>
      <c r="AK47" s="2" t="s">
        <v>151</v>
      </c>
      <c r="AL47" s="2" t="s">
        <v>152</v>
      </c>
      <c r="AM47" s="60">
        <f t="shared" si="15"/>
        <v>7766</v>
      </c>
      <c r="AN47" s="61" t="s">
        <v>153</v>
      </c>
      <c r="AO47" s="2" t="str">
        <f t="shared" si="21"/>
        <v>@((((54.5529252086478+2.44852)*7766/65540751.1074742)))</v>
      </c>
    </row>
    <row r="48" spans="1:41" s="2" customFormat="1" ht="13.5" x14ac:dyDescent="0.2">
      <c r="A48" s="2" t="s">
        <v>196</v>
      </c>
      <c r="B48" s="20">
        <v>58</v>
      </c>
      <c r="C48" s="21" t="s">
        <v>89</v>
      </c>
      <c r="D48" s="22">
        <f>VLOOKUP(B48,'[1]Participaciones  Tabla I'!A$5:C$110,3)</f>
        <v>25954</v>
      </c>
      <c r="E48" s="24">
        <f t="shared" si="0"/>
        <v>2.25273432854994E-2</v>
      </c>
      <c r="F48" s="24">
        <f t="shared" si="1"/>
        <v>1.4417499702719617E-2</v>
      </c>
      <c r="G48" s="25">
        <f>VLOOKUP(C48,'[1]Participaciones  Tabla I'!$B$5:$AC$110,5,FALSE)</f>
        <v>64662</v>
      </c>
      <c r="H48" s="25">
        <f>VLOOKUP(C48,'[1]Participaciones  Tabla I'!$B$5:$AC$110,6,FALSE)</f>
        <v>754229.5</v>
      </c>
      <c r="I48" s="25">
        <f t="shared" si="2"/>
        <v>818891.5</v>
      </c>
      <c r="J48" s="26">
        <f t="shared" si="3"/>
        <v>6.2177054586171222E-3</v>
      </c>
      <c r="K48" s="26">
        <f t="shared" si="4"/>
        <v>2.0518428013436506E-3</v>
      </c>
      <c r="L48" s="27">
        <f>VLOOKUP(C48,'[1]Participaciones  Tabla I'!$B$5:$AC$110,10,FALSE)</f>
        <v>130500</v>
      </c>
      <c r="M48" s="27">
        <f>VLOOKUP(C48,'[1]Participaciones  Tabla I'!$B$5:$AC$110,11,FALSE)</f>
        <v>920941.5</v>
      </c>
      <c r="N48" s="25">
        <f t="shared" si="5"/>
        <v>1051441.5</v>
      </c>
      <c r="O48" s="28">
        <f t="shared" si="6"/>
        <v>8.1539113945291921E-3</v>
      </c>
      <c r="P48" s="29">
        <f t="shared" si="7"/>
        <v>2.6907907601946336E-3</v>
      </c>
      <c r="Q48" s="27">
        <f>VLOOKUP(C48,'[1]Participaciones  Tabla I'!$B$5:$AC$110,15,FALSE)</f>
        <v>903072</v>
      </c>
      <c r="R48" s="27">
        <f>VLOOKUP(C48,'[1]Participaciones  Tabla I'!$B$5:$AC$110,16,FALSE)</f>
        <v>708659.5</v>
      </c>
      <c r="S48" s="25">
        <f t="shared" si="8"/>
        <v>1611731.5</v>
      </c>
      <c r="T48" s="30">
        <f t="shared" si="9"/>
        <v>1.0004974386968473E-2</v>
      </c>
      <c r="U48" s="30">
        <f t="shared" si="10"/>
        <v>3.401691291569281E-3</v>
      </c>
      <c r="V48" s="30">
        <f t="shared" si="11"/>
        <v>8.1443248531075652E-3</v>
      </c>
      <c r="W48" s="31">
        <f t="shared" si="12"/>
        <v>3.664946183898404E-4</v>
      </c>
      <c r="X48" s="30">
        <f t="shared" si="16"/>
        <v>2.0009948773936945E-4</v>
      </c>
      <c r="Y48" s="31">
        <f>VLOOKUP(B48,'[1]Participaciones  Tabla I'!$A$5:$X$110,24,FALSE)</f>
        <v>53.432239749830401</v>
      </c>
      <c r="Z48" s="22">
        <f t="shared" si="17"/>
        <v>38444.774971990453</v>
      </c>
      <c r="AA48" s="33">
        <f t="shared" si="13"/>
        <v>2.5113703156751412E-2</v>
      </c>
      <c r="AB48" s="33">
        <f t="shared" si="18"/>
        <v>6.2784257891878529E-4</v>
      </c>
      <c r="AC48" s="33">
        <f t="shared" si="19"/>
        <v>3.3750000000000004E-3</v>
      </c>
      <c r="AD48" s="34">
        <f t="shared" si="20"/>
        <v>1.8986936387767613E-2</v>
      </c>
      <c r="AE48" s="59">
        <f>VLOOKUP(B48,[2]coeficientes!$A:$E,5,0)-AD48</f>
        <v>0</v>
      </c>
      <c r="AF48" s="62"/>
      <c r="AG48" s="62"/>
      <c r="AH48" s="2" t="s">
        <v>149</v>
      </c>
      <c r="AI48" s="2" t="s">
        <v>150</v>
      </c>
      <c r="AJ48" s="2">
        <f t="shared" si="14"/>
        <v>53.432239749830401</v>
      </c>
      <c r="AK48" s="2" t="s">
        <v>151</v>
      </c>
      <c r="AL48" s="2" t="s">
        <v>152</v>
      </c>
      <c r="AM48" s="60">
        <f t="shared" si="15"/>
        <v>25954</v>
      </c>
      <c r="AN48" s="61" t="s">
        <v>153</v>
      </c>
      <c r="AO48" s="2" t="str">
        <f t="shared" si="21"/>
        <v>@((((53.4322397498304+2.44852)*25954/65540751.1074742)))</v>
      </c>
    </row>
    <row r="49" spans="1:41" s="2" customFormat="1" ht="13.5" x14ac:dyDescent="0.2">
      <c r="A49" s="2" t="s">
        <v>197</v>
      </c>
      <c r="B49" s="20">
        <v>59</v>
      </c>
      <c r="C49" s="39" t="s">
        <v>90</v>
      </c>
      <c r="D49" s="22">
        <f>VLOOKUP(B49,'[1]Participaciones  Tabla I'!A$5:C$110,3)</f>
        <v>66008</v>
      </c>
      <c r="E49" s="24">
        <f t="shared" si="0"/>
        <v>5.7293090683102586E-2</v>
      </c>
      <c r="F49" s="24">
        <f t="shared" si="1"/>
        <v>3.6667578037185657E-2</v>
      </c>
      <c r="G49" s="25">
        <f>VLOOKUP(C49,'[1]Participaciones  Tabla I'!$B$5:$AC$110,5,FALSE)</f>
        <v>20797431.239999998</v>
      </c>
      <c r="H49" s="25">
        <f>VLOOKUP(C49,'[1]Participaciones  Tabla I'!$B$5:$AC$110,6,FALSE)</f>
        <v>32458999.370000001</v>
      </c>
      <c r="I49" s="25">
        <f t="shared" si="2"/>
        <v>53256430.609999999</v>
      </c>
      <c r="J49" s="26">
        <f t="shared" si="3"/>
        <v>0.40436712227475924</v>
      </c>
      <c r="K49" s="26">
        <f t="shared" si="4"/>
        <v>0.13344115035067056</v>
      </c>
      <c r="L49" s="27">
        <f>VLOOKUP(C49,'[1]Participaciones  Tabla I'!$B$5:$AC$110,10,FALSE)</f>
        <v>21037197.289999999</v>
      </c>
      <c r="M49" s="27">
        <f>VLOOKUP(C49,'[1]Participaciones  Tabla I'!$B$5:$AC$110,11,FALSE)</f>
        <v>28527405.07</v>
      </c>
      <c r="N49" s="25">
        <f t="shared" si="5"/>
        <v>49564602.359999999</v>
      </c>
      <c r="O49" s="28">
        <f t="shared" si="6"/>
        <v>0.38437266928165997</v>
      </c>
      <c r="P49" s="29">
        <f t="shared" si="7"/>
        <v>0.12684298086294779</v>
      </c>
      <c r="Q49" s="27">
        <f>VLOOKUP(C49,'[1]Participaciones  Tabla I'!$B$5:$AC$110,15,FALSE)</f>
        <v>24042782.5</v>
      </c>
      <c r="R49" s="27">
        <f>VLOOKUP(C49,'[1]Participaciones  Tabla I'!$B$5:$AC$110,16,FALSE)</f>
        <v>34850539.630000003</v>
      </c>
      <c r="S49" s="25">
        <f t="shared" si="8"/>
        <v>58893322.130000003</v>
      </c>
      <c r="T49" s="30">
        <f t="shared" si="9"/>
        <v>0.36558581840345838</v>
      </c>
      <c r="U49" s="30">
        <f t="shared" si="10"/>
        <v>0.12429917825717586</v>
      </c>
      <c r="V49" s="30">
        <f t="shared" si="11"/>
        <v>0.38458330947079422</v>
      </c>
      <c r="W49" s="31">
        <f t="shared" si="12"/>
        <v>1.7306248926185739E-2</v>
      </c>
      <c r="X49" s="30">
        <f t="shared" si="16"/>
        <v>7.3117163680691682E-3</v>
      </c>
      <c r="Y49" s="31">
        <f>VLOOKUP(B49,'[1]Participaciones  Tabla I'!$A$5:$X$110,24,FALSE)</f>
        <v>57.637201221370603</v>
      </c>
      <c r="Z49" s="22">
        <f t="shared" si="17"/>
        <v>57362.5033311343</v>
      </c>
      <c r="AA49" s="33">
        <f t="shared" si="13"/>
        <v>3.7471538903162564E-2</v>
      </c>
      <c r="AB49" s="33">
        <f t="shared" si="18"/>
        <v>9.3678847257906413E-4</v>
      </c>
      <c r="AC49" s="33">
        <f t="shared" si="19"/>
        <v>3.3750000000000004E-3</v>
      </c>
      <c r="AD49" s="34">
        <f t="shared" si="20"/>
        <v>6.5597331804019637E-2</v>
      </c>
      <c r="AE49" s="59">
        <f>VLOOKUP(B49,[2]coeficientes!$A:$E,5,0)-AD49</f>
        <v>0</v>
      </c>
      <c r="AF49" s="62"/>
      <c r="AG49" s="62"/>
      <c r="AH49" s="2" t="s">
        <v>149</v>
      </c>
      <c r="AI49" s="2" t="s">
        <v>150</v>
      </c>
      <c r="AJ49" s="2">
        <f t="shared" si="14"/>
        <v>57.637201221370603</v>
      </c>
      <c r="AK49" s="2" t="s">
        <v>151</v>
      </c>
      <c r="AL49" s="2" t="s">
        <v>152</v>
      </c>
      <c r="AM49" s="60">
        <f t="shared" si="15"/>
        <v>66008</v>
      </c>
      <c r="AN49" s="61" t="s">
        <v>153</v>
      </c>
      <c r="AO49" s="2" t="str">
        <f t="shared" si="21"/>
        <v>@((((57.6372012213706+2.44852)*66008/65540751.1074742)))</v>
      </c>
    </row>
    <row r="50" spans="1:41" s="2" customFormat="1" ht="13.5" x14ac:dyDescent="0.2">
      <c r="A50" s="2" t="s">
        <v>198</v>
      </c>
      <c r="B50" s="20">
        <v>60</v>
      </c>
      <c r="C50" s="21" t="s">
        <v>91</v>
      </c>
      <c r="D50" s="22">
        <f>VLOOKUP(B50,'[1]Participaciones  Tabla I'!A$5:C$110,3)</f>
        <v>976</v>
      </c>
      <c r="E50" s="24">
        <f t="shared" si="0"/>
        <v>8.4714059669597803E-4</v>
      </c>
      <c r="F50" s="24">
        <f t="shared" si="1"/>
        <v>5.4216998188542594E-4</v>
      </c>
      <c r="G50" s="25">
        <f>VLOOKUP(C50,'[1]Participaciones  Tabla I'!$B$5:$AC$110,5,FALSE)</f>
        <v>5080</v>
      </c>
      <c r="H50" s="25">
        <f>VLOOKUP(C50,'[1]Participaciones  Tabla I'!$B$5:$AC$110,6,FALSE)</f>
        <v>0</v>
      </c>
      <c r="I50" s="25">
        <f t="shared" si="2"/>
        <v>5080</v>
      </c>
      <c r="J50" s="26">
        <f t="shared" si="3"/>
        <v>3.8571585771466645E-5</v>
      </c>
      <c r="K50" s="26">
        <f t="shared" si="4"/>
        <v>1.2728623304583993E-5</v>
      </c>
      <c r="L50" s="27">
        <f>VLOOKUP(C50,'[1]Participaciones  Tabla I'!$B$5:$AC$110,10,FALSE)</f>
        <v>13557</v>
      </c>
      <c r="M50" s="27">
        <f>VLOOKUP(C50,'[1]Participaciones  Tabla I'!$B$5:$AC$110,11,FALSE)</f>
        <v>0</v>
      </c>
      <c r="N50" s="25">
        <f t="shared" si="5"/>
        <v>13557</v>
      </c>
      <c r="O50" s="28">
        <f t="shared" si="6"/>
        <v>1.0513431015955929E-4</v>
      </c>
      <c r="P50" s="29">
        <f t="shared" si="7"/>
        <v>3.4694322352654569E-5</v>
      </c>
      <c r="Q50" s="27">
        <f>VLOOKUP(C50,'[1]Participaciones  Tabla I'!$B$5:$AC$110,15,FALSE)</f>
        <v>7092</v>
      </c>
      <c r="R50" s="27">
        <f>VLOOKUP(C50,'[1]Participaciones  Tabla I'!$B$5:$AC$110,16,FALSE)</f>
        <v>0</v>
      </c>
      <c r="S50" s="25">
        <f t="shared" si="8"/>
        <v>7092</v>
      </c>
      <c r="T50" s="30">
        <f t="shared" si="9"/>
        <v>4.402425487891774E-5</v>
      </c>
      <c r="U50" s="30">
        <f t="shared" si="10"/>
        <v>1.4968246658832033E-5</v>
      </c>
      <c r="V50" s="30">
        <f t="shared" si="11"/>
        <v>6.2391192316070586E-5</v>
      </c>
      <c r="W50" s="31">
        <f t="shared" si="12"/>
        <v>2.8076036542231762E-6</v>
      </c>
      <c r="X50" s="30">
        <f t="shared" si="16"/>
        <v>8.8048509757835486E-7</v>
      </c>
      <c r="Y50" s="31">
        <f>VLOOKUP(B50,'[1]Participaciones  Tabla I'!$A$5:$X$110,24,FALSE)</f>
        <v>53.360424298096497</v>
      </c>
      <c r="Z50" s="22">
        <f t="shared" si="17"/>
        <v>1455.9208888644173</v>
      </c>
      <c r="AA50" s="33">
        <f t="shared" si="13"/>
        <v>9.5106721392682362E-4</v>
      </c>
      <c r="AB50" s="33">
        <f t="shared" si="18"/>
        <v>2.3776680348170593E-5</v>
      </c>
      <c r="AC50" s="33">
        <f t="shared" si="19"/>
        <v>3.3750000000000004E-3</v>
      </c>
      <c r="AD50" s="34">
        <f t="shared" si="20"/>
        <v>3.9446347509853987E-3</v>
      </c>
      <c r="AE50" s="59">
        <f>VLOOKUP(B50,[2]coeficientes!$A:$E,5,0)-AD50</f>
        <v>0</v>
      </c>
      <c r="AF50" s="62"/>
      <c r="AG50" s="62"/>
      <c r="AH50" s="2" t="s">
        <v>149</v>
      </c>
      <c r="AI50" s="2" t="s">
        <v>150</v>
      </c>
      <c r="AJ50" s="2">
        <f t="shared" si="14"/>
        <v>53.360424298096497</v>
      </c>
      <c r="AK50" s="2" t="s">
        <v>151</v>
      </c>
      <c r="AL50" s="2" t="s">
        <v>152</v>
      </c>
      <c r="AM50" s="60">
        <f t="shared" si="15"/>
        <v>976</v>
      </c>
      <c r="AN50" s="61" t="s">
        <v>153</v>
      </c>
      <c r="AO50" s="2" t="str">
        <f t="shared" si="21"/>
        <v>@((((53.3604242980965+2.44852)*976/65540751.1074742)))</v>
      </c>
    </row>
    <row r="51" spans="1:41" s="2" customFormat="1" ht="13.5" x14ac:dyDescent="0.2">
      <c r="A51" s="2" t="s">
        <v>199</v>
      </c>
      <c r="B51" s="20">
        <v>62</v>
      </c>
      <c r="C51" s="21" t="s">
        <v>93</v>
      </c>
      <c r="D51" s="22">
        <f>VLOOKUP(B51,'[1]Participaciones  Tabla I'!A$5:C$110,3)</f>
        <v>4962</v>
      </c>
      <c r="E51" s="24">
        <f t="shared" si="0"/>
        <v>4.3068766811531177E-3</v>
      </c>
      <c r="F51" s="24">
        <f t="shared" si="1"/>
        <v>2.7564010759379954E-3</v>
      </c>
      <c r="G51" s="25">
        <f>VLOOKUP(C51,'[1]Participaciones  Tabla I'!$B$5:$AC$110,5,FALSE)</f>
        <v>28230</v>
      </c>
      <c r="H51" s="25">
        <f>VLOOKUP(C51,'[1]Participaciones  Tabla I'!$B$5:$AC$110,6,FALSE)</f>
        <v>4383</v>
      </c>
      <c r="I51" s="25">
        <f t="shared" si="2"/>
        <v>32613</v>
      </c>
      <c r="J51" s="26">
        <f t="shared" si="3"/>
        <v>2.4762502495370904E-4</v>
      </c>
      <c r="K51" s="26">
        <f t="shared" si="4"/>
        <v>8.1716258234723984E-5</v>
      </c>
      <c r="L51" s="27">
        <f>VLOOKUP(C51,'[1]Participaciones  Tabla I'!$B$5:$AC$110,10,FALSE)</f>
        <v>2240</v>
      </c>
      <c r="M51" s="27">
        <f>VLOOKUP(C51,'[1]Participaciones  Tabla I'!$B$5:$AC$110,11,FALSE)</f>
        <v>51700</v>
      </c>
      <c r="N51" s="25">
        <f t="shared" si="5"/>
        <v>53940</v>
      </c>
      <c r="O51" s="28">
        <f t="shared" si="6"/>
        <v>4.1830380541466608E-4</v>
      </c>
      <c r="P51" s="29">
        <f t="shared" si="7"/>
        <v>1.3804025578683982E-4</v>
      </c>
      <c r="Q51" s="27">
        <f>VLOOKUP(C51,'[1]Participaciones  Tabla I'!$B$5:$AC$110,15,FALSE)</f>
        <v>83840</v>
      </c>
      <c r="R51" s="27">
        <f>VLOOKUP(C51,'[1]Participaciones  Tabla I'!$B$5:$AC$110,16,FALSE)</f>
        <v>20662</v>
      </c>
      <c r="S51" s="25">
        <f t="shared" si="8"/>
        <v>104502</v>
      </c>
      <c r="T51" s="30">
        <f t="shared" si="9"/>
        <v>6.4870596212022861E-4</v>
      </c>
      <c r="U51" s="30">
        <f t="shared" si="10"/>
        <v>2.2056002712087774E-4</v>
      </c>
      <c r="V51" s="30">
        <f t="shared" si="11"/>
        <v>4.4031654114244157E-4</v>
      </c>
      <c r="W51" s="31">
        <f t="shared" si="12"/>
        <v>1.9814244351409871E-5</v>
      </c>
      <c r="X51" s="30">
        <f t="shared" si="16"/>
        <v>1.2974119242404572E-5</v>
      </c>
      <c r="Y51" s="31">
        <f>VLOOKUP(B51,'[1]Participaciones  Tabla I'!$A$5:$X$110,24,FALSE)</f>
        <v>53.861120986884899</v>
      </c>
      <c r="Z51" s="22">
        <f t="shared" si="17"/>
        <v>7040.1887317440269</v>
      </c>
      <c r="AA51" s="33">
        <f t="shared" si="13"/>
        <v>4.5989399106989154E-3</v>
      </c>
      <c r="AB51" s="33">
        <f t="shared" si="18"/>
        <v>1.149734977674729E-4</v>
      </c>
      <c r="AC51" s="33">
        <f t="shared" si="19"/>
        <v>3.3750000000000004E-3</v>
      </c>
      <c r="AD51" s="34">
        <f t="shared" si="20"/>
        <v>6.2791629372992829E-3</v>
      </c>
      <c r="AE51" s="59">
        <f>VLOOKUP(B51,[2]coeficientes!$A:$E,5,0)-AD51</f>
        <v>0</v>
      </c>
      <c r="AF51" s="62"/>
      <c r="AG51" s="62"/>
      <c r="AH51" s="2" t="s">
        <v>149</v>
      </c>
      <c r="AI51" s="2" t="s">
        <v>150</v>
      </c>
      <c r="AJ51" s="2">
        <f t="shared" si="14"/>
        <v>53.861120986884899</v>
      </c>
      <c r="AK51" s="2" t="s">
        <v>151</v>
      </c>
      <c r="AL51" s="2" t="s">
        <v>152</v>
      </c>
      <c r="AM51" s="60">
        <f t="shared" si="15"/>
        <v>4962</v>
      </c>
      <c r="AN51" s="61" t="s">
        <v>153</v>
      </c>
      <c r="AO51" s="2" t="str">
        <f t="shared" si="21"/>
        <v>@((((53.8611209868849+2.44852)*4962/65540751.1074742)))</v>
      </c>
    </row>
    <row r="52" spans="1:41" s="2" customFormat="1" ht="13.5" x14ac:dyDescent="0.2">
      <c r="A52" s="2" t="s">
        <v>200</v>
      </c>
      <c r="B52" s="20">
        <v>63</v>
      </c>
      <c r="C52" s="21" t="s">
        <v>94</v>
      </c>
      <c r="D52" s="22">
        <f>VLOOKUP(B52,'[1]Participaciones  Tabla I'!A$5:C$110,3)</f>
        <v>5631</v>
      </c>
      <c r="E52" s="24">
        <f t="shared" si="0"/>
        <v>4.8875498975359142E-3</v>
      </c>
      <c r="F52" s="24">
        <f t="shared" si="1"/>
        <v>3.128031934422985E-3</v>
      </c>
      <c r="G52" s="25">
        <f>VLOOKUP(C52,'[1]Participaciones  Tabla I'!$B$5:$AC$110,5,FALSE)</f>
        <v>47675</v>
      </c>
      <c r="H52" s="25">
        <f>VLOOKUP(C52,'[1]Participaciones  Tabla I'!$B$5:$AC$110,6,FALSE)</f>
        <v>314</v>
      </c>
      <c r="I52" s="25">
        <f t="shared" si="2"/>
        <v>47989</v>
      </c>
      <c r="J52" s="26">
        <f t="shared" si="3"/>
        <v>3.6437240739899861E-4</v>
      </c>
      <c r="K52" s="26">
        <f t="shared" si="4"/>
        <v>1.2024289444166955E-4</v>
      </c>
      <c r="L52" s="27">
        <f>VLOOKUP(C52,'[1]Participaciones  Tabla I'!$B$5:$AC$110,10,FALSE)</f>
        <v>63670</v>
      </c>
      <c r="M52" s="27">
        <f>VLOOKUP(C52,'[1]Participaciones  Tabla I'!$B$5:$AC$110,11,FALSE)</f>
        <v>40700</v>
      </c>
      <c r="N52" s="25">
        <f t="shared" si="5"/>
        <v>104370</v>
      </c>
      <c r="O52" s="28">
        <f t="shared" si="6"/>
        <v>8.0938761904205975E-4</v>
      </c>
      <c r="P52" s="29">
        <f t="shared" si="7"/>
        <v>2.6709791428387972E-4</v>
      </c>
      <c r="Q52" s="27">
        <f>VLOOKUP(C52,'[1]Participaciones  Tabla I'!$B$5:$AC$110,15,FALSE)</f>
        <v>57225</v>
      </c>
      <c r="R52" s="27">
        <f>VLOOKUP(C52,'[1]Participaciones  Tabla I'!$B$5:$AC$110,16,FALSE)</f>
        <v>530</v>
      </c>
      <c r="S52" s="25">
        <f t="shared" si="8"/>
        <v>57755</v>
      </c>
      <c r="T52" s="30">
        <f t="shared" si="9"/>
        <v>3.5851957706315482E-4</v>
      </c>
      <c r="U52" s="30">
        <f t="shared" si="10"/>
        <v>1.2189665620147265E-4</v>
      </c>
      <c r="V52" s="30">
        <f t="shared" si="11"/>
        <v>5.0923746492702196E-4</v>
      </c>
      <c r="W52" s="31">
        <f t="shared" si="12"/>
        <v>2.2915685921715988E-5</v>
      </c>
      <c r="X52" s="30">
        <f t="shared" si="16"/>
        <v>7.1703915412630966E-6</v>
      </c>
      <c r="Y52" s="31">
        <f>VLOOKUP(B52,'[1]Participaciones  Tabla I'!$A$5:$X$110,24,FALSE)</f>
        <v>53.765815015636697</v>
      </c>
      <c r="Z52" s="22">
        <f t="shared" si="17"/>
        <v>8067.5186861958764</v>
      </c>
      <c r="AA52" s="33">
        <f t="shared" si="13"/>
        <v>5.2700339550505798E-3</v>
      </c>
      <c r="AB52" s="33">
        <f t="shared" si="18"/>
        <v>1.3175084887626451E-4</v>
      </c>
      <c r="AC52" s="33">
        <f t="shared" si="19"/>
        <v>3.3750000000000004E-3</v>
      </c>
      <c r="AD52" s="34">
        <f t="shared" si="20"/>
        <v>6.6648688607622289E-3</v>
      </c>
      <c r="AE52" s="59">
        <f>VLOOKUP(B52,[2]coeficientes!$A:$E,5,0)-AD52</f>
        <v>0</v>
      </c>
      <c r="AF52" s="62"/>
      <c r="AG52" s="62"/>
      <c r="AH52" s="2" t="s">
        <v>149</v>
      </c>
      <c r="AI52" s="2" t="s">
        <v>150</v>
      </c>
      <c r="AJ52" s="2">
        <f t="shared" si="14"/>
        <v>53.765815015636697</v>
      </c>
      <c r="AK52" s="2" t="s">
        <v>151</v>
      </c>
      <c r="AL52" s="2" t="s">
        <v>152</v>
      </c>
      <c r="AM52" s="60">
        <f t="shared" si="15"/>
        <v>5631</v>
      </c>
      <c r="AN52" s="61" t="s">
        <v>153</v>
      </c>
      <c r="AO52" s="2" t="str">
        <f t="shared" si="21"/>
        <v>@((((53.7658150156367+2.44852)*5631/65540751.1074742)))</v>
      </c>
    </row>
    <row r="53" spans="1:41" s="2" customFormat="1" ht="13.5" x14ac:dyDescent="0.2">
      <c r="A53" s="2" t="s">
        <v>201</v>
      </c>
      <c r="B53" s="20">
        <v>64</v>
      </c>
      <c r="C53" s="21" t="s">
        <v>95</v>
      </c>
      <c r="D53" s="22">
        <f>VLOOKUP(B53,'[1]Participaciones  Tabla I'!A$5:C$110,3)</f>
        <v>1701</v>
      </c>
      <c r="E53" s="24">
        <f t="shared" si="0"/>
        <v>1.4764202407580519E-3</v>
      </c>
      <c r="F53" s="24">
        <f t="shared" si="1"/>
        <v>9.4490895408515328E-4</v>
      </c>
      <c r="G53" s="25">
        <f>VLOOKUP(C53,'[1]Participaciones  Tabla I'!$B$5:$AC$110,5,FALSE)</f>
        <v>0</v>
      </c>
      <c r="H53" s="25">
        <f>VLOOKUP(C53,'[1]Participaciones  Tabla I'!$B$5:$AC$110,6,FALSE)</f>
        <v>0</v>
      </c>
      <c r="I53" s="25">
        <f t="shared" si="2"/>
        <v>0</v>
      </c>
      <c r="J53" s="26">
        <f t="shared" si="3"/>
        <v>0</v>
      </c>
      <c r="K53" s="26">
        <f t="shared" si="4"/>
        <v>0</v>
      </c>
      <c r="L53" s="27">
        <f>VLOOKUP(C53,'[1]Participaciones  Tabla I'!$B$5:$AC$110,10,FALSE)</f>
        <v>0</v>
      </c>
      <c r="M53" s="27">
        <f>VLOOKUP(C53,'[1]Participaciones  Tabla I'!$B$5:$AC$110,11,FALSE)</f>
        <v>0</v>
      </c>
      <c r="N53" s="25">
        <f t="shared" si="5"/>
        <v>0</v>
      </c>
      <c r="O53" s="28">
        <f t="shared" si="6"/>
        <v>0</v>
      </c>
      <c r="P53" s="29">
        <f t="shared" si="7"/>
        <v>0</v>
      </c>
      <c r="Q53" s="27">
        <f>VLOOKUP(C53,'[1]Participaciones  Tabla I'!$B$5:$AC$110,15,FALSE)</f>
        <v>0</v>
      </c>
      <c r="R53" s="27">
        <f>VLOOKUP(C53,'[1]Participaciones  Tabla I'!$B$5:$AC$110,16,FALSE)</f>
        <v>0</v>
      </c>
      <c r="S53" s="25">
        <f t="shared" si="8"/>
        <v>0</v>
      </c>
      <c r="T53" s="30">
        <f t="shared" si="9"/>
        <v>0</v>
      </c>
      <c r="U53" s="30">
        <f t="shared" si="10"/>
        <v>0</v>
      </c>
      <c r="V53" s="30">
        <f t="shared" si="11"/>
        <v>0</v>
      </c>
      <c r="W53" s="31">
        <f t="shared" si="12"/>
        <v>0</v>
      </c>
      <c r="X53" s="30">
        <f t="shared" si="16"/>
        <v>0</v>
      </c>
      <c r="Y53" s="31">
        <f>VLOOKUP(B53,'[1]Participaciones  Tabla I'!$A$5:$X$110,24,FALSE)</f>
        <v>53.841807072409097</v>
      </c>
      <c r="Z53" s="22">
        <f t="shared" si="17"/>
        <v>2418.1975463275548</v>
      </c>
      <c r="AA53" s="33">
        <f t="shared" si="13"/>
        <v>1.5796657776538049E-3</v>
      </c>
      <c r="AB53" s="33">
        <f t="shared" si="18"/>
        <v>3.9491644441345128E-5</v>
      </c>
      <c r="AC53" s="33">
        <f t="shared" si="19"/>
        <v>3.3750000000000004E-3</v>
      </c>
      <c r="AD53" s="34">
        <f t="shared" si="20"/>
        <v>4.3594005985264986E-3</v>
      </c>
      <c r="AE53" s="59">
        <f>VLOOKUP(B53,[2]coeficientes!$A:$E,5,0)-AD53</f>
        <v>0</v>
      </c>
      <c r="AF53" s="62"/>
      <c r="AG53" s="62"/>
      <c r="AH53" s="2" t="s">
        <v>149</v>
      </c>
      <c r="AI53" s="2" t="s">
        <v>150</v>
      </c>
      <c r="AJ53" s="2">
        <f t="shared" si="14"/>
        <v>53.841807072409097</v>
      </c>
      <c r="AK53" s="2" t="s">
        <v>151</v>
      </c>
      <c r="AL53" s="2" t="s">
        <v>152</v>
      </c>
      <c r="AM53" s="60">
        <f t="shared" si="15"/>
        <v>1701</v>
      </c>
      <c r="AN53" s="61" t="s">
        <v>153</v>
      </c>
      <c r="AO53" s="2" t="str">
        <f t="shared" si="21"/>
        <v>@((((53.8418070724091+2.44852)*1701/65540751.1074742)))</v>
      </c>
    </row>
    <row r="54" spans="1:41" s="2" customFormat="1" ht="13.5" x14ac:dyDescent="0.2">
      <c r="A54" s="2" t="s">
        <v>202</v>
      </c>
      <c r="B54" s="20">
        <v>66</v>
      </c>
      <c r="C54" s="21" t="s">
        <v>97</v>
      </c>
      <c r="D54" s="22">
        <f>VLOOKUP(B54,'[1]Participaciones  Tabla I'!A$5:C$110,3)</f>
        <v>4220</v>
      </c>
      <c r="E54" s="24">
        <f t="shared" si="0"/>
        <v>3.6628415144026919E-3</v>
      </c>
      <c r="F54" s="24">
        <f t="shared" si="1"/>
        <v>2.3442185692177228E-3</v>
      </c>
      <c r="G54" s="25">
        <f>VLOOKUP(C54,'[1]Participaciones  Tabla I'!$B$5:$AC$110,5,FALSE)</f>
        <v>195598.8</v>
      </c>
      <c r="H54" s="25">
        <f>VLOOKUP(C54,'[1]Participaciones  Tabla I'!$B$5:$AC$110,6,FALSE)</f>
        <v>13865</v>
      </c>
      <c r="I54" s="25">
        <f t="shared" si="2"/>
        <v>209463.8</v>
      </c>
      <c r="J54" s="26">
        <f t="shared" si="3"/>
        <v>1.5904234109679794E-3</v>
      </c>
      <c r="K54" s="26">
        <f t="shared" si="4"/>
        <v>5.2483972561943317E-4</v>
      </c>
      <c r="L54" s="27">
        <f>VLOOKUP(C54,'[1]Participaciones  Tabla I'!$B$5:$AC$110,10,FALSE)</f>
        <v>232801.6</v>
      </c>
      <c r="M54" s="27">
        <f>VLOOKUP(C54,'[1]Participaciones  Tabla I'!$B$5:$AC$110,11,FALSE)</f>
        <v>7077.5</v>
      </c>
      <c r="N54" s="25">
        <f t="shared" si="5"/>
        <v>239879.1</v>
      </c>
      <c r="O54" s="28">
        <f t="shared" si="6"/>
        <v>1.8602584421476684E-3</v>
      </c>
      <c r="P54" s="29">
        <f t="shared" si="7"/>
        <v>6.138852859087306E-4</v>
      </c>
      <c r="Q54" s="27">
        <f>VLOOKUP(C54,'[1]Participaciones  Tabla I'!$B$5:$AC$110,15,FALSE)</f>
        <v>355436</v>
      </c>
      <c r="R54" s="27">
        <f>VLOOKUP(C54,'[1]Participaciones  Tabla I'!$B$5:$AC$110,16,FALSE)</f>
        <v>10620</v>
      </c>
      <c r="S54" s="25">
        <f t="shared" si="8"/>
        <v>366056</v>
      </c>
      <c r="T54" s="30">
        <f t="shared" si="9"/>
        <v>2.2723269379522153E-3</v>
      </c>
      <c r="U54" s="30">
        <f t="shared" si="10"/>
        <v>7.7259115890375332E-4</v>
      </c>
      <c r="V54" s="30">
        <f t="shared" si="11"/>
        <v>1.911316170431917E-3</v>
      </c>
      <c r="W54" s="31">
        <f t="shared" si="12"/>
        <v>8.6009227669436264E-5</v>
      </c>
      <c r="X54" s="30">
        <f t="shared" si="16"/>
        <v>4.5446538759044306E-5</v>
      </c>
      <c r="Y54" s="31">
        <f>VLOOKUP(B54,'[1]Participaciones  Tabla I'!$A$5:$X$110,24,FALSE)</f>
        <v>51.8906868964079</v>
      </c>
      <c r="Z54" s="22">
        <f t="shared" si="17"/>
        <v>7198.1214688662976</v>
      </c>
      <c r="AA54" s="33">
        <f t="shared" si="13"/>
        <v>4.7021080494566965E-3</v>
      </c>
      <c r="AB54" s="33">
        <f t="shared" si="18"/>
        <v>1.1755270123641742E-4</v>
      </c>
      <c r="AC54" s="33">
        <f t="shared" si="19"/>
        <v>3.3750000000000004E-3</v>
      </c>
      <c r="AD54" s="34">
        <f t="shared" si="20"/>
        <v>5.9682270368826215E-3</v>
      </c>
      <c r="AE54" s="59">
        <f>VLOOKUP(B54,[2]coeficientes!$A:$E,5,0)-AD54</f>
        <v>0</v>
      </c>
      <c r="AF54" s="62"/>
      <c r="AG54" s="62"/>
      <c r="AH54" s="2" t="s">
        <v>149</v>
      </c>
      <c r="AI54" s="2" t="s">
        <v>150</v>
      </c>
      <c r="AJ54" s="2">
        <f t="shared" si="14"/>
        <v>51.8906868964079</v>
      </c>
      <c r="AK54" s="2" t="s">
        <v>151</v>
      </c>
      <c r="AL54" s="2" t="s">
        <v>152</v>
      </c>
      <c r="AM54" s="60">
        <f t="shared" si="15"/>
        <v>4220</v>
      </c>
      <c r="AN54" s="61" t="s">
        <v>153</v>
      </c>
      <c r="AO54" s="2" t="str">
        <f t="shared" si="21"/>
        <v>@((((51.8906868964079+2.44852)*4220/65540751.1074742)))</v>
      </c>
    </row>
    <row r="55" spans="1:41" s="2" customFormat="1" ht="13.5" x14ac:dyDescent="0.2">
      <c r="A55" s="2" t="s">
        <v>203</v>
      </c>
      <c r="B55" s="20">
        <v>69</v>
      </c>
      <c r="C55" s="21" t="s">
        <v>100</v>
      </c>
      <c r="D55" s="22">
        <f>VLOOKUP(B55,'[1]Participaciones  Tabla I'!A$5:C$110,3)</f>
        <v>8967</v>
      </c>
      <c r="E55" s="24">
        <f t="shared" si="0"/>
        <v>7.7831042321442985E-3</v>
      </c>
      <c r="F55" s="24">
        <f t="shared" si="1"/>
        <v>4.9811867085723513E-3</v>
      </c>
      <c r="G55" s="25">
        <f>VLOOKUP(C55,'[1]Participaciones  Tabla I'!$B$5:$AC$110,5,FALSE)</f>
        <v>50318</v>
      </c>
      <c r="H55" s="25">
        <f>VLOOKUP(C55,'[1]Participaciones  Tabla I'!$B$5:$AC$110,6,FALSE)</f>
        <v>735</v>
      </c>
      <c r="I55" s="25">
        <f t="shared" si="2"/>
        <v>51053</v>
      </c>
      <c r="J55" s="26">
        <f t="shared" si="3"/>
        <v>3.8763684417139502E-4</v>
      </c>
      <c r="K55" s="26">
        <f t="shared" si="4"/>
        <v>1.2792015857656037E-4</v>
      </c>
      <c r="L55" s="27">
        <f>VLOOKUP(C55,'[1]Participaciones  Tabla I'!$B$5:$AC$110,10,FALSE)</f>
        <v>1010</v>
      </c>
      <c r="M55" s="27">
        <f>VLOOKUP(C55,'[1]Participaciones  Tabla I'!$B$5:$AC$110,11,FALSE)</f>
        <v>1050</v>
      </c>
      <c r="N55" s="25">
        <f t="shared" si="5"/>
        <v>2060</v>
      </c>
      <c r="O55" s="28">
        <f t="shared" si="6"/>
        <v>1.5975265835265336E-5</v>
      </c>
      <c r="P55" s="29">
        <f t="shared" si="7"/>
        <v>5.2718377256375613E-6</v>
      </c>
      <c r="Q55" s="27">
        <f>VLOOKUP(C55,'[1]Participaciones  Tabla I'!$B$5:$AC$110,15,FALSE)</f>
        <v>22345</v>
      </c>
      <c r="R55" s="27">
        <f>VLOOKUP(C55,'[1]Participaciones  Tabla I'!$B$5:$AC$110,16,FALSE)</f>
        <v>12380</v>
      </c>
      <c r="S55" s="25">
        <f t="shared" si="8"/>
        <v>34725</v>
      </c>
      <c r="T55" s="30">
        <f t="shared" si="9"/>
        <v>2.1555869298793266E-4</v>
      </c>
      <c r="U55" s="30">
        <f t="shared" si="10"/>
        <v>7.3289955615897105E-5</v>
      </c>
      <c r="V55" s="30">
        <f t="shared" si="11"/>
        <v>2.0648195191809503E-4</v>
      </c>
      <c r="W55" s="31">
        <f t="shared" si="12"/>
        <v>9.2916878363142762E-6</v>
      </c>
      <c r="X55" s="30">
        <f t="shared" si="16"/>
        <v>4.3111738597586532E-6</v>
      </c>
      <c r="Y55" s="31">
        <f>VLOOKUP(B55,'[1]Participaciones  Tabla I'!$A$5:$X$110,24,FALSE)</f>
        <v>52.165796274229599</v>
      </c>
      <c r="Z55" s="22">
        <f t="shared" si="17"/>
        <v>14935.973780187944</v>
      </c>
      <c r="AA55" s="33">
        <f t="shared" si="13"/>
        <v>9.756790412896045E-3</v>
      </c>
      <c r="AB55" s="33">
        <f t="shared" si="18"/>
        <v>2.4391976032240114E-4</v>
      </c>
      <c r="AC55" s="33">
        <f t="shared" si="19"/>
        <v>3.3750000000000004E-3</v>
      </c>
      <c r="AD55" s="34">
        <f t="shared" si="20"/>
        <v>8.6137093305908262E-3</v>
      </c>
      <c r="AE55" s="59">
        <f>VLOOKUP(B55,[2]coeficientes!$A:$E,5,0)-AD55</f>
        <v>0</v>
      </c>
      <c r="AF55" s="62"/>
      <c r="AG55" s="62"/>
      <c r="AH55" s="2" t="s">
        <v>149</v>
      </c>
      <c r="AI55" s="2" t="s">
        <v>150</v>
      </c>
      <c r="AJ55" s="2">
        <f t="shared" si="14"/>
        <v>52.165796274229599</v>
      </c>
      <c r="AK55" s="2" t="s">
        <v>151</v>
      </c>
      <c r="AL55" s="2" t="s">
        <v>152</v>
      </c>
      <c r="AM55" s="60">
        <f t="shared" si="15"/>
        <v>8967</v>
      </c>
      <c r="AN55" s="61" t="s">
        <v>153</v>
      </c>
      <c r="AO55" s="2" t="str">
        <f t="shared" si="21"/>
        <v>@((((52.1657962742296+2.44852)*8967/65540751.1074742)))</v>
      </c>
    </row>
    <row r="56" spans="1:41" s="2" customFormat="1" ht="13.5" x14ac:dyDescent="0.2">
      <c r="A56" s="2" t="s">
        <v>204</v>
      </c>
      <c r="B56" s="20">
        <v>70</v>
      </c>
      <c r="C56" s="21" t="s">
        <v>101</v>
      </c>
      <c r="D56" s="22">
        <f>VLOOKUP(B56,'[1]Participaciones  Tabla I'!A$5:C$110,3)</f>
        <v>3971</v>
      </c>
      <c r="E56" s="24">
        <f t="shared" si="0"/>
        <v>3.4467165056144763E-3</v>
      </c>
      <c r="F56" s="24">
        <f t="shared" si="1"/>
        <v>2.2058985635932649E-3</v>
      </c>
      <c r="G56" s="25">
        <f>VLOOKUP(C56,'[1]Participaciones  Tabla I'!$B$5:$AC$110,5,FALSE)</f>
        <v>102897.32</v>
      </c>
      <c r="H56" s="25">
        <f>VLOOKUP(C56,'[1]Participaciones  Tabla I'!$B$5:$AC$110,6,FALSE)</f>
        <v>536345</v>
      </c>
      <c r="I56" s="25">
        <f t="shared" si="2"/>
        <v>639242.32000000007</v>
      </c>
      <c r="J56" s="26">
        <f t="shared" si="3"/>
        <v>4.8536594438250659E-3</v>
      </c>
      <c r="K56" s="26">
        <f t="shared" si="4"/>
        <v>1.6017076164622718E-3</v>
      </c>
      <c r="L56" s="27">
        <f>VLOOKUP(C56,'[1]Participaciones  Tabla I'!$B$5:$AC$110,10,FALSE)</f>
        <v>82675.929999999993</v>
      </c>
      <c r="M56" s="27">
        <f>VLOOKUP(C56,'[1]Participaciones  Tabla I'!$B$5:$AC$110,11,FALSE)</f>
        <v>336122.77</v>
      </c>
      <c r="N56" s="25">
        <f t="shared" si="5"/>
        <v>418798.7</v>
      </c>
      <c r="O56" s="28">
        <f t="shared" si="6"/>
        <v>3.2477769727978331E-3</v>
      </c>
      <c r="P56" s="29">
        <f t="shared" si="7"/>
        <v>1.0717664010232849E-3</v>
      </c>
      <c r="Q56" s="27">
        <f>VLOOKUP(C56,'[1]Participaciones  Tabla I'!$B$5:$AC$110,15,FALSE)</f>
        <v>76656.7</v>
      </c>
      <c r="R56" s="27">
        <f>VLOOKUP(C56,'[1]Participaciones  Tabla I'!$B$5:$AC$110,16,FALSE)</f>
        <v>390060</v>
      </c>
      <c r="S56" s="25">
        <f t="shared" si="8"/>
        <v>466716.7</v>
      </c>
      <c r="T56" s="30">
        <f t="shared" si="9"/>
        <v>2.8971876701984474E-3</v>
      </c>
      <c r="U56" s="30">
        <f t="shared" si="10"/>
        <v>9.8504380786747225E-4</v>
      </c>
      <c r="V56" s="30">
        <f t="shared" si="11"/>
        <v>3.658517825353029E-3</v>
      </c>
      <c r="W56" s="31">
        <f t="shared" si="12"/>
        <v>1.6463330214088631E-4</v>
      </c>
      <c r="X56" s="30">
        <f t="shared" si="16"/>
        <v>5.7943753403968949E-5</v>
      </c>
      <c r="Y56" s="31">
        <f>VLOOKUP(B56,'[1]Participaciones  Tabla I'!$A$5:$X$110,24,FALSE)</f>
        <v>54.558086766794098</v>
      </c>
      <c r="Z56" s="22">
        <f t="shared" si="17"/>
        <v>5231.1673325832244</v>
      </c>
      <c r="AA56" s="33">
        <f t="shared" si="13"/>
        <v>3.4172129671588601E-3</v>
      </c>
      <c r="AB56" s="33">
        <f t="shared" si="18"/>
        <v>8.5430324178971509E-5</v>
      </c>
      <c r="AC56" s="33">
        <f t="shared" si="19"/>
        <v>3.3750000000000004E-3</v>
      </c>
      <c r="AD56" s="34">
        <f t="shared" si="20"/>
        <v>5.8889059433170927E-3</v>
      </c>
      <c r="AE56" s="59">
        <f>VLOOKUP(B56,[2]coeficientes!$A:$E,5,0)-AD56</f>
        <v>0</v>
      </c>
      <c r="AF56" s="62"/>
      <c r="AG56" s="62"/>
      <c r="AH56" s="2" t="s">
        <v>149</v>
      </c>
      <c r="AI56" s="2" t="s">
        <v>150</v>
      </c>
      <c r="AJ56" s="2">
        <f t="shared" si="14"/>
        <v>54.558086766794098</v>
      </c>
      <c r="AK56" s="2" t="s">
        <v>151</v>
      </c>
      <c r="AL56" s="2" t="s">
        <v>152</v>
      </c>
      <c r="AM56" s="60">
        <f t="shared" si="15"/>
        <v>3971</v>
      </c>
      <c r="AN56" s="61" t="s">
        <v>153</v>
      </c>
      <c r="AO56" s="2" t="str">
        <f t="shared" si="21"/>
        <v>@((((54.5580867667941+2.44852)*3971/65540751.1074742)))</v>
      </c>
    </row>
    <row r="57" spans="1:41" s="2" customFormat="1" ht="13.5" x14ac:dyDescent="0.2">
      <c r="A57" s="2" t="s">
        <v>205</v>
      </c>
      <c r="B57" s="20">
        <v>71</v>
      </c>
      <c r="C57" s="21" t="s">
        <v>102</v>
      </c>
      <c r="D57" s="22">
        <f>VLOOKUP(B57,'[1]Participaciones  Tabla I'!A$5:C$110,3)</f>
        <v>1949</v>
      </c>
      <c r="E57" s="24">
        <f t="shared" si="0"/>
        <v>1.6916772776234235E-3</v>
      </c>
      <c r="F57" s="24">
        <f t="shared" si="1"/>
        <v>1.082673457678991E-3</v>
      </c>
      <c r="G57" s="25">
        <f>VLOOKUP(C57,'[1]Participaciones  Tabla I'!$B$5:$AC$110,5,FALSE)</f>
        <v>13901.9</v>
      </c>
      <c r="H57" s="25">
        <f>VLOOKUP(C57,'[1]Participaciones  Tabla I'!$B$5:$AC$110,6,FALSE)</f>
        <v>0</v>
      </c>
      <c r="I57" s="25">
        <f t="shared" si="2"/>
        <v>13901.9</v>
      </c>
      <c r="J57" s="26">
        <f t="shared" si="3"/>
        <v>1.0555478902290398E-4</v>
      </c>
      <c r="K57" s="26">
        <f t="shared" si="4"/>
        <v>3.4833080377558311E-5</v>
      </c>
      <c r="L57" s="27">
        <f>VLOOKUP(C57,'[1]Participaciones  Tabla I'!$B$5:$AC$110,10,FALSE)</f>
        <v>22964.26</v>
      </c>
      <c r="M57" s="27">
        <f>VLOOKUP(C57,'[1]Participaciones  Tabla I'!$B$5:$AC$110,11,FALSE)</f>
        <v>1050</v>
      </c>
      <c r="N57" s="25">
        <f t="shared" si="5"/>
        <v>24014.26</v>
      </c>
      <c r="O57" s="28">
        <f t="shared" si="6"/>
        <v>1.8623018802775673E-4</v>
      </c>
      <c r="P57" s="29">
        <f t="shared" si="7"/>
        <v>6.1455962049159724E-5</v>
      </c>
      <c r="Q57" s="27">
        <f>VLOOKUP(C57,'[1]Participaciones  Tabla I'!$B$5:$AC$110,15,FALSE)</f>
        <v>8835.5</v>
      </c>
      <c r="R57" s="27">
        <f>VLOOKUP(C57,'[1]Participaciones  Tabla I'!$B$5:$AC$110,16,FALSE)</f>
        <v>0</v>
      </c>
      <c r="S57" s="25">
        <f t="shared" si="8"/>
        <v>8835.5</v>
      </c>
      <c r="T57" s="30">
        <f t="shared" si="9"/>
        <v>5.4847194583005875E-5</v>
      </c>
      <c r="U57" s="30">
        <f t="shared" si="10"/>
        <v>1.8648046158221998E-5</v>
      </c>
      <c r="V57" s="30">
        <f t="shared" si="11"/>
        <v>1.1493708858494003E-4</v>
      </c>
      <c r="W57" s="31">
        <f t="shared" si="12"/>
        <v>5.1721689863223013E-6</v>
      </c>
      <c r="X57" s="30">
        <f t="shared" si="16"/>
        <v>1.0969438916601175E-6</v>
      </c>
      <c r="Y57" s="31">
        <f>VLOOKUP(B57,'[1]Participaciones  Tabla I'!$A$5:$X$110,24,FALSE)</f>
        <v>52.130863354221503</v>
      </c>
      <c r="Z57" s="22">
        <f t="shared" si="17"/>
        <v>3256.2845301738025</v>
      </c>
      <c r="AA57" s="33">
        <f t="shared" si="13"/>
        <v>2.1271385550906932E-3</v>
      </c>
      <c r="AB57" s="33">
        <f t="shared" si="18"/>
        <v>5.3178463877267332E-5</v>
      </c>
      <c r="AC57" s="33">
        <f t="shared" si="19"/>
        <v>3.3750000000000004E-3</v>
      </c>
      <c r="AD57" s="34">
        <f t="shared" si="20"/>
        <v>4.5171210344342409E-3</v>
      </c>
      <c r="AE57" s="59">
        <f>VLOOKUP(B57,[2]coeficientes!$A:$E,5,0)-AD57</f>
        <v>0</v>
      </c>
      <c r="AF57" s="62"/>
      <c r="AG57" s="62"/>
      <c r="AH57" s="2" t="s">
        <v>149</v>
      </c>
      <c r="AI57" s="2" t="s">
        <v>150</v>
      </c>
      <c r="AJ57" s="2">
        <f t="shared" si="14"/>
        <v>52.130863354221503</v>
      </c>
      <c r="AK57" s="2" t="s">
        <v>151</v>
      </c>
      <c r="AL57" s="2" t="s">
        <v>152</v>
      </c>
      <c r="AM57" s="60">
        <f t="shared" si="15"/>
        <v>1949</v>
      </c>
      <c r="AN57" s="61" t="s">
        <v>153</v>
      </c>
      <c r="AO57" s="2" t="str">
        <f t="shared" si="21"/>
        <v>@((((52.1308633542215+2.44852)*1949/65540751.1074742)))</v>
      </c>
    </row>
    <row r="58" spans="1:41" s="2" customFormat="1" ht="13.5" x14ac:dyDescent="0.2">
      <c r="A58" s="2" t="s">
        <v>206</v>
      </c>
      <c r="B58" s="20">
        <v>72</v>
      </c>
      <c r="C58" s="39" t="s">
        <v>103</v>
      </c>
      <c r="D58" s="22">
        <f>VLOOKUP(B58,'[1]Participaciones  Tabla I'!A$5:C$110,3)</f>
        <v>1857</v>
      </c>
      <c r="E58" s="24">
        <f t="shared" si="0"/>
        <v>1.6118238607217533E-3</v>
      </c>
      <c r="F58" s="24">
        <f t="shared" si="1"/>
        <v>1.031567270861922E-3</v>
      </c>
      <c r="G58" s="25">
        <f>VLOOKUP(C58,'[1]Participaciones  Tabla I'!$B$5:$AC$110,5,FALSE)</f>
        <v>18648</v>
      </c>
      <c r="H58" s="25">
        <f>VLOOKUP(C58,'[1]Participaciones  Tabla I'!$B$5:$AC$110,6,FALSE)</f>
        <v>33375</v>
      </c>
      <c r="I58" s="25">
        <f t="shared" si="2"/>
        <v>52023</v>
      </c>
      <c r="J58" s="26">
        <f t="shared" si="3"/>
        <v>3.9500189106082861E-4</v>
      </c>
      <c r="K58" s="26">
        <f t="shared" si="4"/>
        <v>1.3035062405007344E-4</v>
      </c>
      <c r="L58" s="27">
        <f>VLOOKUP(C58,'[1]Participaciones  Tabla I'!$B$5:$AC$110,10,FALSE)</f>
        <v>15755</v>
      </c>
      <c r="M58" s="27">
        <f>VLOOKUP(C58,'[1]Participaciones  Tabla I'!$B$5:$AC$110,11,FALSE)</f>
        <v>70265</v>
      </c>
      <c r="N58" s="25">
        <f t="shared" si="5"/>
        <v>86020</v>
      </c>
      <c r="O58" s="28">
        <f t="shared" si="6"/>
        <v>6.6708367337355533E-4</v>
      </c>
      <c r="P58" s="29">
        <f t="shared" si="7"/>
        <v>2.2013761221327326E-4</v>
      </c>
      <c r="Q58" s="27">
        <f>VLOOKUP(C58,'[1]Participaciones  Tabla I'!$B$5:$AC$110,15,FALSE)</f>
        <v>21000</v>
      </c>
      <c r="R58" s="27">
        <f>VLOOKUP(C58,'[1]Participaciones  Tabla I'!$B$5:$AC$110,16,FALSE)</f>
        <v>25815</v>
      </c>
      <c r="S58" s="25">
        <f t="shared" si="8"/>
        <v>46815</v>
      </c>
      <c r="T58" s="30">
        <f t="shared" si="9"/>
        <v>2.9060850143211142E-4</v>
      </c>
      <c r="U58" s="30">
        <f t="shared" si="10"/>
        <v>9.8806890486917889E-5</v>
      </c>
      <c r="V58" s="30">
        <f t="shared" si="11"/>
        <v>4.4929512675026458E-4</v>
      </c>
      <c r="W58" s="31">
        <f t="shared" si="12"/>
        <v>2.0218280703761906E-5</v>
      </c>
      <c r="X58" s="30">
        <f t="shared" si="16"/>
        <v>5.8121700286422281E-6</v>
      </c>
      <c r="Y58" s="31">
        <f>VLOOKUP(B58,'[1]Participaciones  Tabla I'!$A$5:$X$110,24,FALSE)</f>
        <v>55.370508882856697</v>
      </c>
      <c r="Z58" s="22">
        <f t="shared" si="17"/>
        <v>2226.6431046603093</v>
      </c>
      <c r="AA58" s="33">
        <f t="shared" si="13"/>
        <v>1.454534563076705E-3</v>
      </c>
      <c r="AB58" s="33">
        <f t="shared" si="18"/>
        <v>3.6363364076917625E-5</v>
      </c>
      <c r="AC58" s="33">
        <f t="shared" si="19"/>
        <v>3.3750000000000004E-3</v>
      </c>
      <c r="AD58" s="34">
        <f t="shared" si="20"/>
        <v>4.468961085671244E-3</v>
      </c>
      <c r="AE58" s="59">
        <f>VLOOKUP(B58,[2]coeficientes!$A:$E,5,0)-AD58</f>
        <v>0</v>
      </c>
      <c r="AF58" s="62"/>
      <c r="AG58" s="62"/>
      <c r="AH58" s="2" t="s">
        <v>149</v>
      </c>
      <c r="AI58" s="2" t="s">
        <v>150</v>
      </c>
      <c r="AJ58" s="2">
        <f t="shared" si="14"/>
        <v>55.370508882856697</v>
      </c>
      <c r="AK58" s="2" t="s">
        <v>151</v>
      </c>
      <c r="AL58" s="2" t="s">
        <v>152</v>
      </c>
      <c r="AM58" s="60">
        <f t="shared" si="15"/>
        <v>1857</v>
      </c>
      <c r="AN58" s="61" t="s">
        <v>153</v>
      </c>
      <c r="AO58" s="2" t="str">
        <f t="shared" si="21"/>
        <v>@((((55.3705088828567+2.44852)*1857/65540751.1074742)))</v>
      </c>
    </row>
    <row r="59" spans="1:41" s="2" customFormat="1" ht="13.5" x14ac:dyDescent="0.2">
      <c r="A59" s="2" t="s">
        <v>207</v>
      </c>
      <c r="B59" s="20">
        <v>73</v>
      </c>
      <c r="C59" s="21" t="s">
        <v>104</v>
      </c>
      <c r="D59" s="22">
        <f>VLOOKUP(B59,'[1]Participaciones  Tabla I'!A$5:C$110,3)</f>
        <v>5854</v>
      </c>
      <c r="E59" s="24">
        <f t="shared" si="0"/>
        <v>5.08110763633018E-3</v>
      </c>
      <c r="F59" s="24">
        <f t="shared" si="1"/>
        <v>3.2519088872513154E-3</v>
      </c>
      <c r="G59" s="25">
        <f>VLOOKUP(C59,'[1]Participaciones  Tabla I'!$B$5:$AC$110,5,FALSE)</f>
        <v>0</v>
      </c>
      <c r="H59" s="25">
        <f>VLOOKUP(C59,'[1]Participaciones  Tabla I'!$B$5:$AC$110,6,FALSE)</f>
        <v>0</v>
      </c>
      <c r="I59" s="25">
        <f t="shared" si="2"/>
        <v>0</v>
      </c>
      <c r="J59" s="26">
        <f t="shared" si="3"/>
        <v>0</v>
      </c>
      <c r="K59" s="26">
        <f t="shared" si="4"/>
        <v>0</v>
      </c>
      <c r="L59" s="27">
        <f>VLOOKUP(C59,'[1]Participaciones  Tabla I'!$B$5:$AC$110,10,FALSE)</f>
        <v>0</v>
      </c>
      <c r="M59" s="27">
        <f>VLOOKUP(C59,'[1]Participaciones  Tabla I'!$B$5:$AC$110,11,FALSE)</f>
        <v>0</v>
      </c>
      <c r="N59" s="25">
        <f t="shared" si="5"/>
        <v>0</v>
      </c>
      <c r="O59" s="28">
        <f t="shared" si="6"/>
        <v>0</v>
      </c>
      <c r="P59" s="29">
        <f t="shared" si="7"/>
        <v>0</v>
      </c>
      <c r="Q59" s="27">
        <f>VLOOKUP(C59,'[1]Participaciones  Tabla I'!$B$5:$AC$110,15,FALSE)</f>
        <v>0</v>
      </c>
      <c r="R59" s="27">
        <f>VLOOKUP(C59,'[1]Participaciones  Tabla I'!$B$5:$AC$110,16,FALSE)</f>
        <v>0</v>
      </c>
      <c r="S59" s="25">
        <f t="shared" si="8"/>
        <v>0</v>
      </c>
      <c r="T59" s="30">
        <f t="shared" si="9"/>
        <v>0</v>
      </c>
      <c r="U59" s="30">
        <f t="shared" si="10"/>
        <v>0</v>
      </c>
      <c r="V59" s="30">
        <f t="shared" si="11"/>
        <v>0</v>
      </c>
      <c r="W59" s="31">
        <f t="shared" si="12"/>
        <v>0</v>
      </c>
      <c r="X59" s="30">
        <f t="shared" si="16"/>
        <v>0</v>
      </c>
      <c r="Y59" s="31">
        <f>VLOOKUP(B59,'[1]Participaciones  Tabla I'!$A$5:$X$110,24,FALSE)</f>
        <v>49.4453324912743</v>
      </c>
      <c r="Z59" s="22">
        <f t="shared" si="17"/>
        <v>12069.540635589279</v>
      </c>
      <c r="AA59" s="33">
        <f t="shared" si="13"/>
        <v>7.8843187658498223E-3</v>
      </c>
      <c r="AB59" s="33">
        <f t="shared" si="18"/>
        <v>1.9710796914624556E-4</v>
      </c>
      <c r="AC59" s="33">
        <f t="shared" si="19"/>
        <v>3.3750000000000004E-3</v>
      </c>
      <c r="AD59" s="34">
        <f t="shared" si="20"/>
        <v>6.824016856397561E-3</v>
      </c>
      <c r="AE59" s="59">
        <f>VLOOKUP(B59,[2]coeficientes!$A:$E,5,0)-AD59</f>
        <v>0</v>
      </c>
      <c r="AF59" s="62"/>
      <c r="AG59" s="62"/>
      <c r="AH59" s="2" t="s">
        <v>149</v>
      </c>
      <c r="AI59" s="2" t="s">
        <v>150</v>
      </c>
      <c r="AJ59" s="2">
        <f t="shared" si="14"/>
        <v>49.4453324912743</v>
      </c>
      <c r="AK59" s="2" t="s">
        <v>151</v>
      </c>
      <c r="AL59" s="2" t="s">
        <v>152</v>
      </c>
      <c r="AM59" s="60">
        <f t="shared" si="15"/>
        <v>5854</v>
      </c>
      <c r="AN59" s="61" t="s">
        <v>153</v>
      </c>
      <c r="AO59" s="2" t="str">
        <f t="shared" si="21"/>
        <v>@((((49.4453324912743+2.44852)*5854/65540751.1074742)))</v>
      </c>
    </row>
    <row r="60" spans="1:41" s="2" customFormat="1" ht="13.5" x14ac:dyDescent="0.2">
      <c r="A60" s="2" t="s">
        <v>208</v>
      </c>
      <c r="B60" s="20">
        <v>75</v>
      </c>
      <c r="C60" s="21" t="s">
        <v>106</v>
      </c>
      <c r="D60" s="22">
        <f>VLOOKUP(B60,'[1]Participaciones  Tabla I'!A$5:C$110,3)</f>
        <v>6921</v>
      </c>
      <c r="E60" s="24">
        <f t="shared" si="0"/>
        <v>6.0072336780049836E-3</v>
      </c>
      <c r="F60" s="24">
        <f t="shared" si="1"/>
        <v>3.8446295539231895E-3</v>
      </c>
      <c r="G60" s="25">
        <f>VLOOKUP(C60,'[1]Participaciones  Tabla I'!$B$5:$AC$110,5,FALSE)</f>
        <v>0</v>
      </c>
      <c r="H60" s="25">
        <f>VLOOKUP(C60,'[1]Participaciones  Tabla I'!$B$5:$AC$110,6,FALSE)</f>
        <v>0</v>
      </c>
      <c r="I60" s="25">
        <f t="shared" si="2"/>
        <v>0</v>
      </c>
      <c r="J60" s="26">
        <f t="shared" si="3"/>
        <v>0</v>
      </c>
      <c r="K60" s="26">
        <f t="shared" si="4"/>
        <v>0</v>
      </c>
      <c r="L60" s="27">
        <f>VLOOKUP(C60,'[1]Participaciones  Tabla I'!$B$5:$AC$110,10,FALSE)</f>
        <v>33519</v>
      </c>
      <c r="M60" s="27">
        <f>VLOOKUP(C60,'[1]Participaciones  Tabla I'!$B$5:$AC$110,11,FALSE)</f>
        <v>28477.5</v>
      </c>
      <c r="N60" s="25">
        <f t="shared" si="5"/>
        <v>61996.5</v>
      </c>
      <c r="O60" s="28">
        <f t="shared" si="6"/>
        <v>4.8078182929904236E-4</v>
      </c>
      <c r="P60" s="29">
        <f t="shared" si="7"/>
        <v>1.5865800366868398E-4</v>
      </c>
      <c r="Q60" s="27">
        <f>VLOOKUP(C60,'[1]Participaciones  Tabla I'!$B$5:$AC$110,15,FALSE)</f>
        <v>10040</v>
      </c>
      <c r="R60" s="27">
        <f>VLOOKUP(C60,'[1]Participaciones  Tabla I'!$B$5:$AC$110,16,FALSE)</f>
        <v>4800</v>
      </c>
      <c r="S60" s="25">
        <f t="shared" si="8"/>
        <v>14840</v>
      </c>
      <c r="T60" s="30">
        <f t="shared" si="9"/>
        <v>9.2120691258197864E-5</v>
      </c>
      <c r="U60" s="30">
        <f t="shared" si="10"/>
        <v>3.1321035027787278E-5</v>
      </c>
      <c r="V60" s="30">
        <f t="shared" si="11"/>
        <v>1.8997903869647127E-4</v>
      </c>
      <c r="W60" s="31">
        <f t="shared" si="12"/>
        <v>8.5490567413412066E-6</v>
      </c>
      <c r="X60" s="30">
        <f t="shared" si="16"/>
        <v>1.8424138251639574E-6</v>
      </c>
      <c r="Y60" s="31">
        <f>VLOOKUP(B60,'[1]Participaciones  Tabla I'!$A$5:$X$110,24,FALSE)</f>
        <v>50.657433654324002</v>
      </c>
      <c r="Z60" s="22">
        <f t="shared" si="17"/>
        <v>13048.006684378468</v>
      </c>
      <c r="AA60" s="33">
        <f t="shared" si="13"/>
        <v>8.5234929037178199E-3</v>
      </c>
      <c r="AB60" s="33">
        <f t="shared" si="18"/>
        <v>2.1308732259294551E-4</v>
      </c>
      <c r="AC60" s="33">
        <f t="shared" si="19"/>
        <v>3.3750000000000004E-3</v>
      </c>
      <c r="AD60" s="34">
        <f t="shared" si="20"/>
        <v>7.4431083470826408E-3</v>
      </c>
      <c r="AE60" s="59">
        <f>VLOOKUP(B60,[2]coeficientes!$A:$E,5,0)-AD60</f>
        <v>0</v>
      </c>
      <c r="AF60" s="62"/>
      <c r="AG60" s="62"/>
      <c r="AH60" s="2" t="s">
        <v>149</v>
      </c>
      <c r="AI60" s="2" t="s">
        <v>150</v>
      </c>
      <c r="AJ60" s="2">
        <f t="shared" si="14"/>
        <v>50.657433654324002</v>
      </c>
      <c r="AK60" s="2" t="s">
        <v>151</v>
      </c>
      <c r="AL60" s="2" t="s">
        <v>152</v>
      </c>
      <c r="AM60" s="60">
        <f t="shared" si="15"/>
        <v>6921</v>
      </c>
      <c r="AN60" s="61" t="s">
        <v>153</v>
      </c>
      <c r="AO60" s="2" t="str">
        <f t="shared" si="21"/>
        <v>@((((50.657433654324+2.44852)*6921/65540751.1074742)))</v>
      </c>
    </row>
    <row r="61" spans="1:41" s="2" customFormat="1" ht="13.5" x14ac:dyDescent="0.2">
      <c r="A61" s="2" t="s">
        <v>209</v>
      </c>
      <c r="B61" s="20">
        <v>76</v>
      </c>
      <c r="C61" s="39" t="s">
        <v>107</v>
      </c>
      <c r="D61" s="22">
        <f>VLOOKUP(B61,'[1]Participaciones  Tabla I'!A$5:C$110,3)</f>
        <v>17939</v>
      </c>
      <c r="E61" s="24">
        <f t="shared" si="0"/>
        <v>1.5570548323902818E-2</v>
      </c>
      <c r="F61" s="24">
        <f t="shared" si="1"/>
        <v>9.9651509272978035E-3</v>
      </c>
      <c r="G61" s="25">
        <f>VLOOKUP(C61,'[1]Participaciones  Tabla I'!$B$5:$AC$110,5,FALSE)</f>
        <v>57254.5</v>
      </c>
      <c r="H61" s="25">
        <f>VLOOKUP(C61,'[1]Participaciones  Tabla I'!$B$5:$AC$110,6,FALSE)</f>
        <v>226075</v>
      </c>
      <c r="I61" s="25">
        <f t="shared" si="2"/>
        <v>283329.5</v>
      </c>
      <c r="J61" s="26">
        <f t="shared" si="3"/>
        <v>2.1512732501647166E-3</v>
      </c>
      <c r="K61" s="26">
        <f t="shared" si="4"/>
        <v>7.099201725543565E-4</v>
      </c>
      <c r="L61" s="27">
        <f>VLOOKUP(C61,'[1]Participaciones  Tabla I'!$B$5:$AC$110,10,FALSE)</f>
        <v>15687.41</v>
      </c>
      <c r="M61" s="27">
        <f>VLOOKUP(C61,'[1]Participaciones  Tabla I'!$B$5:$AC$110,11,FALSE)</f>
        <v>145773.85</v>
      </c>
      <c r="N61" s="25">
        <f t="shared" si="5"/>
        <v>161461.26</v>
      </c>
      <c r="O61" s="28">
        <f t="shared" si="6"/>
        <v>1.2521293934936377E-3</v>
      </c>
      <c r="P61" s="29">
        <f t="shared" si="7"/>
        <v>4.1320269985290045E-4</v>
      </c>
      <c r="Q61" s="27">
        <f>VLOOKUP(C61,'[1]Participaciones  Tabla I'!$B$5:$AC$110,15,FALSE)</f>
        <v>42219.5</v>
      </c>
      <c r="R61" s="27">
        <f>VLOOKUP(C61,'[1]Participaciones  Tabla I'!$B$5:$AC$110,16,FALSE)</f>
        <v>123084</v>
      </c>
      <c r="S61" s="25">
        <f t="shared" si="8"/>
        <v>165303.5</v>
      </c>
      <c r="T61" s="30">
        <f t="shared" si="9"/>
        <v>1.0261369735444414E-3</v>
      </c>
      <c r="U61" s="30">
        <f t="shared" si="10"/>
        <v>3.4888657100511013E-4</v>
      </c>
      <c r="V61" s="30">
        <f t="shared" si="11"/>
        <v>1.472009443412367E-3</v>
      </c>
      <c r="W61" s="31">
        <f t="shared" si="12"/>
        <v>6.6240424953556504E-5</v>
      </c>
      <c r="X61" s="30">
        <f t="shared" si="16"/>
        <v>2.052273947088883E-5</v>
      </c>
      <c r="Y61" s="31">
        <f>VLOOKUP(B61,'[1]Participaciones  Tabla I'!$A$5:$X$110,24,FALSE)</f>
        <v>52.989493663485597</v>
      </c>
      <c r="Z61" s="22">
        <f t="shared" si="17"/>
        <v>27728.845493658544</v>
      </c>
      <c r="AA61" s="33">
        <f t="shared" si="13"/>
        <v>1.8113618693685135E-2</v>
      </c>
      <c r="AB61" s="33">
        <f t="shared" si="18"/>
        <v>4.5284046734212841E-4</v>
      </c>
      <c r="AC61" s="33">
        <f t="shared" si="19"/>
        <v>3.3750000000000004E-3</v>
      </c>
      <c r="AD61" s="34">
        <f t="shared" si="20"/>
        <v>1.3879754559064379E-2</v>
      </c>
      <c r="AE61" s="59">
        <f>VLOOKUP(B61,[2]coeficientes!$A:$E,5,0)-AD61</f>
        <v>0</v>
      </c>
      <c r="AF61" s="62"/>
      <c r="AG61" s="62"/>
      <c r="AH61" s="2" t="s">
        <v>149</v>
      </c>
      <c r="AI61" s="2" t="s">
        <v>150</v>
      </c>
      <c r="AJ61" s="2">
        <f t="shared" si="14"/>
        <v>52.989493663485597</v>
      </c>
      <c r="AK61" s="2" t="s">
        <v>151</v>
      </c>
      <c r="AL61" s="2" t="s">
        <v>152</v>
      </c>
      <c r="AM61" s="60">
        <f t="shared" si="15"/>
        <v>17939</v>
      </c>
      <c r="AN61" s="61" t="s">
        <v>153</v>
      </c>
      <c r="AO61" s="2" t="str">
        <f t="shared" si="21"/>
        <v>@((((52.9894936634856+2.44852)*17939/65540751.1074742)))</v>
      </c>
    </row>
    <row r="62" spans="1:41" s="2" customFormat="1" ht="13.5" x14ac:dyDescent="0.2">
      <c r="A62" s="2" t="s">
        <v>210</v>
      </c>
      <c r="B62" s="20">
        <v>78</v>
      </c>
      <c r="C62" s="21" t="s">
        <v>109</v>
      </c>
      <c r="D62" s="22">
        <f>VLOOKUP(B62,'[1]Participaciones  Tabla I'!A$5:C$110,3)</f>
        <v>3747</v>
      </c>
      <c r="E62" s="24">
        <f t="shared" si="0"/>
        <v>3.2522907948973668E-3</v>
      </c>
      <c r="F62" s="24">
        <f t="shared" si="1"/>
        <v>2.0814661087343147E-3</v>
      </c>
      <c r="G62" s="25">
        <f>VLOOKUP(C62,'[1]Participaciones  Tabla I'!$B$5:$AC$110,5,FALSE)</f>
        <v>92445.52</v>
      </c>
      <c r="H62" s="25">
        <f>VLOOKUP(C62,'[1]Participaciones  Tabla I'!$B$5:$AC$110,6,FALSE)</f>
        <v>3050</v>
      </c>
      <c r="I62" s="25">
        <f t="shared" si="2"/>
        <v>95495.52</v>
      </c>
      <c r="J62" s="26">
        <f t="shared" si="3"/>
        <v>7.2508142528952932E-4</v>
      </c>
      <c r="K62" s="26">
        <f t="shared" si="4"/>
        <v>2.3927687034554468E-4</v>
      </c>
      <c r="L62" s="27">
        <f>VLOOKUP(C62,'[1]Participaciones  Tabla I'!$B$5:$AC$110,10,FALSE)</f>
        <v>92903.98</v>
      </c>
      <c r="M62" s="27">
        <f>VLOOKUP(C62,'[1]Participaciones  Tabla I'!$B$5:$AC$110,11,FALSE)</f>
        <v>9430</v>
      </c>
      <c r="N62" s="25">
        <f t="shared" si="5"/>
        <v>102333.98</v>
      </c>
      <c r="O62" s="28">
        <f t="shared" si="6"/>
        <v>7.9359831770909033E-4</v>
      </c>
      <c r="P62" s="29">
        <f t="shared" si="7"/>
        <v>2.6188744484399983E-4</v>
      </c>
      <c r="Q62" s="27">
        <f>VLOOKUP(C62,'[1]Participaciones  Tabla I'!$B$5:$AC$110,15,FALSE)</f>
        <v>84483.68</v>
      </c>
      <c r="R62" s="27">
        <f>VLOOKUP(C62,'[1]Participaciones  Tabla I'!$B$5:$AC$110,16,FALSE)</f>
        <v>8740</v>
      </c>
      <c r="S62" s="25">
        <f t="shared" si="8"/>
        <v>93223.679999999993</v>
      </c>
      <c r="T62" s="30">
        <f t="shared" si="9"/>
        <v>5.7869473337149823E-4</v>
      </c>
      <c r="U62" s="30">
        <f t="shared" si="10"/>
        <v>1.9675620934630941E-4</v>
      </c>
      <c r="V62" s="30">
        <f t="shared" si="11"/>
        <v>6.9792052453585387E-4</v>
      </c>
      <c r="W62" s="31">
        <f t="shared" si="12"/>
        <v>3.140642360411342E-5</v>
      </c>
      <c r="X62" s="30">
        <f t="shared" si="16"/>
        <v>1.1573894667429965E-5</v>
      </c>
      <c r="Y62" s="31">
        <f>VLOOKUP(B62,'[1]Participaciones  Tabla I'!$A$5:$X$110,24,FALSE)</f>
        <v>52.699620408264003</v>
      </c>
      <c r="Z62" s="22">
        <f t="shared" si="17"/>
        <v>5949.9934512821792</v>
      </c>
      <c r="AA62" s="33">
        <f t="shared" si="13"/>
        <v>3.8867796580675119E-3</v>
      </c>
      <c r="AB62" s="33">
        <f t="shared" si="18"/>
        <v>9.7169491451687808E-5</v>
      </c>
      <c r="AC62" s="33">
        <f t="shared" si="19"/>
        <v>3.3750000000000004E-3</v>
      </c>
      <c r="AD62" s="34">
        <f t="shared" si="20"/>
        <v>5.5966159184575462E-3</v>
      </c>
      <c r="AE62" s="59">
        <f>VLOOKUP(B62,[2]coeficientes!$A:$E,5,0)-AD62</f>
        <v>0</v>
      </c>
      <c r="AF62" s="62"/>
      <c r="AG62" s="62"/>
      <c r="AH62" s="2" t="s">
        <v>149</v>
      </c>
      <c r="AI62" s="2" t="s">
        <v>150</v>
      </c>
      <c r="AJ62" s="2">
        <f t="shared" si="14"/>
        <v>52.699620408264003</v>
      </c>
      <c r="AK62" s="2" t="s">
        <v>151</v>
      </c>
      <c r="AL62" s="2" t="s">
        <v>152</v>
      </c>
      <c r="AM62" s="60">
        <f t="shared" si="15"/>
        <v>3747</v>
      </c>
      <c r="AN62" s="61" t="s">
        <v>153</v>
      </c>
      <c r="AO62" s="2" t="str">
        <f t="shared" si="21"/>
        <v>@((((52.699620408264+2.44852)*3747/65540751.1074742)))</v>
      </c>
    </row>
    <row r="63" spans="1:41" s="2" customFormat="1" ht="13.5" x14ac:dyDescent="0.2">
      <c r="A63" s="2" t="s">
        <v>211</v>
      </c>
      <c r="B63" s="20">
        <v>79</v>
      </c>
      <c r="C63" s="21" t="s">
        <v>110</v>
      </c>
      <c r="D63" s="22">
        <f>VLOOKUP(B63,'[1]Participaciones  Tabla I'!A$5:C$110,3)</f>
        <v>45062</v>
      </c>
      <c r="E63" s="24">
        <f t="shared" si="0"/>
        <v>3.9112550787207136E-2</v>
      </c>
      <c r="F63" s="24">
        <f t="shared" si="1"/>
        <v>2.5032032503812567E-2</v>
      </c>
      <c r="G63" s="25">
        <f>VLOOKUP(C63,'[1]Participaciones  Tabla I'!$B$5:$AC$110,5,FALSE)</f>
        <v>689586</v>
      </c>
      <c r="H63" s="25">
        <f>VLOOKUP(C63,'[1]Participaciones  Tabla I'!$B$5:$AC$110,6,FALSE)</f>
        <v>946060.5</v>
      </c>
      <c r="I63" s="25">
        <f t="shared" si="2"/>
        <v>1635646.5</v>
      </c>
      <c r="J63" s="26">
        <f t="shared" si="3"/>
        <v>1.2419188831997878E-2</v>
      </c>
      <c r="K63" s="26">
        <f t="shared" si="4"/>
        <v>4.0983323145593002E-3</v>
      </c>
      <c r="L63" s="27">
        <f>VLOOKUP(C63,'[1]Participaciones  Tabla I'!$B$5:$AC$110,10,FALSE)</f>
        <v>20484</v>
      </c>
      <c r="M63" s="27">
        <f>VLOOKUP(C63,'[1]Participaciones  Tabla I'!$B$5:$AC$110,11,FALSE)</f>
        <v>1003454</v>
      </c>
      <c r="N63" s="25">
        <f t="shared" si="5"/>
        <v>1023938</v>
      </c>
      <c r="O63" s="28">
        <f t="shared" si="6"/>
        <v>7.9406222081698629E-3</v>
      </c>
      <c r="P63" s="29">
        <f t="shared" si="7"/>
        <v>2.6204053286960549E-3</v>
      </c>
      <c r="Q63" s="27">
        <f>VLOOKUP(C63,'[1]Participaciones  Tabla I'!$B$5:$AC$110,15,FALSE)</f>
        <v>9075</v>
      </c>
      <c r="R63" s="27">
        <f>VLOOKUP(C63,'[1]Participaciones  Tabla I'!$B$5:$AC$110,16,FALSE)</f>
        <v>1272225.5</v>
      </c>
      <c r="S63" s="25">
        <f t="shared" si="8"/>
        <v>1281300.5</v>
      </c>
      <c r="T63" s="30">
        <f t="shared" si="9"/>
        <v>7.9537929763796866E-3</v>
      </c>
      <c r="U63" s="30">
        <f t="shared" si="10"/>
        <v>2.7042896119690938E-3</v>
      </c>
      <c r="V63" s="30">
        <f t="shared" si="11"/>
        <v>9.4230272552244497E-3</v>
      </c>
      <c r="W63" s="31">
        <f t="shared" si="12"/>
        <v>4.2403622648510024E-4</v>
      </c>
      <c r="X63" s="30">
        <f t="shared" si="16"/>
        <v>1.5907585952759374E-4</v>
      </c>
      <c r="Y63" s="31">
        <f>VLOOKUP(B63,'[1]Participaciones  Tabla I'!$A$5:$X$110,24,FALSE)</f>
        <v>53.797324570673297</v>
      </c>
      <c r="Z63" s="22">
        <f t="shared" si="17"/>
        <v>64353.472204584126</v>
      </c>
      <c r="AA63" s="33">
        <f t="shared" si="13"/>
        <v>4.2038326384525676E-2</v>
      </c>
      <c r="AB63" s="33">
        <f t="shared" si="18"/>
        <v>1.050958159613142E-3</v>
      </c>
      <c r="AC63" s="33">
        <f t="shared" si="19"/>
        <v>3.3750000000000004E-3</v>
      </c>
      <c r="AD63" s="34">
        <f t="shared" si="20"/>
        <v>3.0041102749438404E-2</v>
      </c>
      <c r="AE63" s="59">
        <f>VLOOKUP(B63,[2]coeficientes!$A:$E,5,0)-AD63</f>
        <v>0</v>
      </c>
      <c r="AF63" s="62"/>
      <c r="AG63" s="62"/>
      <c r="AH63" s="2" t="s">
        <v>149</v>
      </c>
      <c r="AI63" s="2" t="s">
        <v>150</v>
      </c>
      <c r="AJ63" s="2">
        <f t="shared" si="14"/>
        <v>53.797324570673297</v>
      </c>
      <c r="AK63" s="2" t="s">
        <v>151</v>
      </c>
      <c r="AL63" s="2" t="s">
        <v>152</v>
      </c>
      <c r="AM63" s="60">
        <f t="shared" si="15"/>
        <v>45062</v>
      </c>
      <c r="AN63" s="61" t="s">
        <v>153</v>
      </c>
      <c r="AO63" s="2" t="str">
        <f t="shared" si="21"/>
        <v>@((((53.7973245706733+2.44852)*45062/65540751.1074742)))</v>
      </c>
    </row>
    <row r="64" spans="1:41" s="2" customFormat="1" ht="13.5" x14ac:dyDescent="0.2">
      <c r="A64" s="2" t="s">
        <v>212</v>
      </c>
      <c r="B64" s="20">
        <v>80</v>
      </c>
      <c r="C64" s="21" t="s">
        <v>111</v>
      </c>
      <c r="D64" s="22">
        <f>VLOOKUP(B64,'[1]Participaciones  Tabla I'!A$5:C$110,3)</f>
        <v>11020</v>
      </c>
      <c r="E64" s="24">
        <f t="shared" si="0"/>
        <v>9.5650505897435234E-3</v>
      </c>
      <c r="F64" s="24">
        <f t="shared" si="1"/>
        <v>6.1216323774358553E-3</v>
      </c>
      <c r="G64" s="25">
        <f>VLOOKUP(C64,'[1]Participaciones  Tabla I'!$B$5:$AC$110,5,FALSE)</f>
        <v>171462.58</v>
      </c>
      <c r="H64" s="25">
        <f>VLOOKUP(C64,'[1]Participaciones  Tabla I'!$B$5:$AC$110,6,FALSE)</f>
        <v>3580</v>
      </c>
      <c r="I64" s="25">
        <f t="shared" si="2"/>
        <v>175042.58</v>
      </c>
      <c r="J64" s="26">
        <f t="shared" si="3"/>
        <v>1.3290688756159078E-3</v>
      </c>
      <c r="K64" s="26">
        <f t="shared" si="4"/>
        <v>4.3859272895324961E-4</v>
      </c>
      <c r="L64" s="27">
        <f>VLOOKUP(C64,'[1]Participaciones  Tabla I'!$B$5:$AC$110,10,FALSE)</f>
        <v>124062</v>
      </c>
      <c r="M64" s="27">
        <f>VLOOKUP(C64,'[1]Participaciones  Tabla I'!$B$5:$AC$110,11,FALSE)</f>
        <v>25690</v>
      </c>
      <c r="N64" s="25">
        <f t="shared" si="5"/>
        <v>149752</v>
      </c>
      <c r="O64" s="28">
        <f t="shared" si="6"/>
        <v>1.161324276389638E-3</v>
      </c>
      <c r="P64" s="29">
        <f t="shared" si="7"/>
        <v>3.8323701120858054E-4</v>
      </c>
      <c r="Q64" s="27">
        <f>VLOOKUP(C64,'[1]Participaciones  Tabla I'!$B$5:$AC$110,15,FALSE)</f>
        <v>15297.01</v>
      </c>
      <c r="R64" s="27">
        <f>VLOOKUP(C64,'[1]Participaciones  Tabla I'!$B$5:$AC$110,16,FALSE)</f>
        <v>4172</v>
      </c>
      <c r="S64" s="25">
        <f t="shared" si="8"/>
        <v>19469.010000000002</v>
      </c>
      <c r="T64" s="30">
        <f t="shared" si="9"/>
        <v>1.2085570480544252E-4</v>
      </c>
      <c r="U64" s="30">
        <f t="shared" si="10"/>
        <v>4.1090939633850458E-5</v>
      </c>
      <c r="V64" s="30">
        <f t="shared" si="11"/>
        <v>8.6292067979568056E-4</v>
      </c>
      <c r="W64" s="31">
        <f t="shared" si="12"/>
        <v>3.8831430590805621E-5</v>
      </c>
      <c r="X64" s="30">
        <f t="shared" si="16"/>
        <v>2.4171140961088505E-6</v>
      </c>
      <c r="Y64" s="31">
        <f>VLOOKUP(B64,'[1]Participaciones  Tabla I'!$A$5:$X$110,24,FALSE)</f>
        <v>54.147816437142303</v>
      </c>
      <c r="Z64" s="22">
        <f t="shared" si="17"/>
        <v>15175.398752807914</v>
      </c>
      <c r="AA64" s="33">
        <f t="shared" si="13"/>
        <v>9.9131926208702644E-3</v>
      </c>
      <c r="AB64" s="33">
        <f t="shared" si="18"/>
        <v>2.478298155217566E-4</v>
      </c>
      <c r="AC64" s="33">
        <f t="shared" si="19"/>
        <v>3.3750000000000004E-3</v>
      </c>
      <c r="AD64" s="34">
        <f t="shared" si="20"/>
        <v>9.7857107376445266E-3</v>
      </c>
      <c r="AE64" s="59">
        <f>VLOOKUP(B64,[2]coeficientes!$A:$E,5,0)-AD64</f>
        <v>0</v>
      </c>
      <c r="AF64" s="62"/>
      <c r="AG64" s="62"/>
      <c r="AH64" s="2" t="s">
        <v>149</v>
      </c>
      <c r="AI64" s="2" t="s">
        <v>150</v>
      </c>
      <c r="AJ64" s="2">
        <f t="shared" si="14"/>
        <v>54.147816437142303</v>
      </c>
      <c r="AK64" s="2" t="s">
        <v>151</v>
      </c>
      <c r="AL64" s="2" t="s">
        <v>152</v>
      </c>
      <c r="AM64" s="60">
        <f t="shared" si="15"/>
        <v>11020</v>
      </c>
      <c r="AN64" s="61" t="s">
        <v>153</v>
      </c>
      <c r="AO64" s="2" t="str">
        <f t="shared" si="21"/>
        <v>@((((54.1478164371423+2.44852)*11020/65540751.1074742)))</v>
      </c>
    </row>
    <row r="65" spans="1:41" s="2" customFormat="1" ht="13.5" x14ac:dyDescent="0.2">
      <c r="A65" s="2" t="s">
        <v>213</v>
      </c>
      <c r="B65" s="20">
        <v>81</v>
      </c>
      <c r="C65" s="21" t="s">
        <v>112</v>
      </c>
      <c r="D65" s="22">
        <f>VLOOKUP(B65,'[1]Participaciones  Tabla I'!A$5:C$110,3)</f>
        <v>3355</v>
      </c>
      <c r="E65" s="24">
        <f t="shared" si="0"/>
        <v>2.9120458011424248E-3</v>
      </c>
      <c r="F65" s="24">
        <f t="shared" si="1"/>
        <v>1.8637093127311518E-3</v>
      </c>
      <c r="G65" s="25">
        <f>VLOOKUP(C65,'[1]Participaciones  Tabla I'!$B$5:$AC$110,5,FALSE)</f>
        <v>6964</v>
      </c>
      <c r="H65" s="25">
        <f>VLOOKUP(C65,'[1]Participaciones  Tabla I'!$B$5:$AC$110,6,FALSE)</f>
        <v>300</v>
      </c>
      <c r="I65" s="25">
        <f t="shared" si="2"/>
        <v>7264</v>
      </c>
      <c r="J65" s="26">
        <f t="shared" si="3"/>
        <v>5.5154330520459398E-5</v>
      </c>
      <c r="K65" s="26">
        <f t="shared" si="4"/>
        <v>1.8200929071751602E-5</v>
      </c>
      <c r="L65" s="27">
        <f>VLOOKUP(C65,'[1]Participaciones  Tabla I'!$B$5:$AC$110,10,FALSE)</f>
        <v>4478</v>
      </c>
      <c r="M65" s="27">
        <f>VLOOKUP(C65,'[1]Participaciones  Tabla I'!$B$5:$AC$110,11,FALSE)</f>
        <v>2100</v>
      </c>
      <c r="N65" s="25">
        <f t="shared" si="5"/>
        <v>6578</v>
      </c>
      <c r="O65" s="28">
        <f t="shared" si="6"/>
        <v>5.1012280905036589E-5</v>
      </c>
      <c r="P65" s="29">
        <f t="shared" si="7"/>
        <v>1.6834052698662076E-5</v>
      </c>
      <c r="Q65" s="27">
        <f>VLOOKUP(C65,'[1]Participaciones  Tabla I'!$B$5:$AC$110,15,FALSE)</f>
        <v>11745.2</v>
      </c>
      <c r="R65" s="27">
        <f>VLOOKUP(C65,'[1]Participaciones  Tabla I'!$B$5:$AC$110,16,FALSE)</f>
        <v>1200</v>
      </c>
      <c r="S65" s="25">
        <f t="shared" si="8"/>
        <v>12945.2</v>
      </c>
      <c r="T65" s="30">
        <f t="shared" si="9"/>
        <v>8.0358542619651148E-5</v>
      </c>
      <c r="U65" s="30">
        <f t="shared" si="10"/>
        <v>2.7321904490681393E-5</v>
      </c>
      <c r="V65" s="30">
        <f t="shared" si="11"/>
        <v>6.2356886261095068E-5</v>
      </c>
      <c r="W65" s="31">
        <f t="shared" si="12"/>
        <v>2.8060598817492779E-6</v>
      </c>
      <c r="X65" s="30">
        <f t="shared" si="16"/>
        <v>1.6071708523930231E-6</v>
      </c>
      <c r="Y65" s="31">
        <f>VLOOKUP(B65,'[1]Participaciones  Tabla I'!$A$5:$X$110,24,FALSE)</f>
        <v>50.930152286702899</v>
      </c>
      <c r="Z65" s="22">
        <f>D65*(9.261-0.1456*Y65)</f>
        <v>6191.8867697730702</v>
      </c>
      <c r="AA65" s="33">
        <f t="shared" si="13"/>
        <v>4.0447942907609708E-3</v>
      </c>
      <c r="AB65" s="33">
        <f t="shared" si="18"/>
        <v>1.0111985726902427E-4</v>
      </c>
      <c r="AC65" s="33">
        <f t="shared" si="19"/>
        <v>3.3750000000000004E-3</v>
      </c>
      <c r="AD65" s="34">
        <f t="shared" si="20"/>
        <v>5.3442424007343189E-3</v>
      </c>
      <c r="AE65" s="59">
        <f>VLOOKUP(B65,[2]coeficientes!$A:$E,5,0)-AD65</f>
        <v>0</v>
      </c>
      <c r="AF65" s="62"/>
      <c r="AG65" s="62"/>
      <c r="AH65" s="2" t="s">
        <v>149</v>
      </c>
      <c r="AI65" s="2" t="s">
        <v>150</v>
      </c>
      <c r="AJ65" s="2">
        <f t="shared" si="14"/>
        <v>50.930152286702899</v>
      </c>
      <c r="AK65" s="2" t="s">
        <v>151</v>
      </c>
      <c r="AL65" s="2" t="s">
        <v>152</v>
      </c>
      <c r="AM65" s="60">
        <f t="shared" si="15"/>
        <v>3355</v>
      </c>
      <c r="AN65" s="61" t="s">
        <v>153</v>
      </c>
      <c r="AO65" s="2" t="str">
        <f t="shared" si="21"/>
        <v>@((((50.9301522867029+2.44852)*3355/65540751.1074742)))</v>
      </c>
    </row>
    <row r="66" spans="1:41" s="2" customFormat="1" ht="13.5" x14ac:dyDescent="0.2">
      <c r="A66" s="2" t="s">
        <v>214</v>
      </c>
      <c r="B66" s="20">
        <v>82</v>
      </c>
      <c r="C66" s="21" t="s">
        <v>113</v>
      </c>
      <c r="D66" s="22">
        <f>VLOOKUP(B66,'[1]Participaciones  Tabla I'!A$5:C$110,3)</f>
        <v>3512</v>
      </c>
      <c r="E66" s="24">
        <f t="shared" si="0"/>
        <v>3.0483173930289701E-3</v>
      </c>
      <c r="F66" s="24">
        <f t="shared" si="1"/>
        <v>1.9509231315385409E-3</v>
      </c>
      <c r="G66" s="25">
        <f>VLOOKUP(C66,'[1]Participaciones  Tabla I'!$B$5:$AC$110,5,FALSE)</f>
        <v>0</v>
      </c>
      <c r="H66" s="25">
        <f>VLOOKUP(C66,'[1]Participaciones  Tabla I'!$B$5:$AC$110,6,FALSE)</f>
        <v>0</v>
      </c>
      <c r="I66" s="25">
        <f t="shared" si="2"/>
        <v>0</v>
      </c>
      <c r="J66" s="26">
        <f t="shared" si="3"/>
        <v>0</v>
      </c>
      <c r="K66" s="26">
        <f t="shared" si="4"/>
        <v>0</v>
      </c>
      <c r="L66" s="27">
        <f>VLOOKUP(C66,'[1]Participaciones  Tabla I'!$B$5:$AC$110,10,FALSE)</f>
        <v>28885</v>
      </c>
      <c r="M66" s="27">
        <f>VLOOKUP(C66,'[1]Participaciones  Tabla I'!$B$5:$AC$110,11,FALSE)</f>
        <v>0</v>
      </c>
      <c r="N66" s="25">
        <f t="shared" si="5"/>
        <v>28885</v>
      </c>
      <c r="O66" s="28">
        <f t="shared" si="6"/>
        <v>2.2400269594739767E-4</v>
      </c>
      <c r="P66" s="29">
        <f t="shared" si="7"/>
        <v>7.3920889662641229E-5</v>
      </c>
      <c r="Q66" s="27">
        <f>VLOOKUP(C66,'[1]Participaciones  Tabla I'!$B$5:$AC$110,15,FALSE)</f>
        <v>20675</v>
      </c>
      <c r="R66" s="27">
        <f>VLOOKUP(C66,'[1]Participaciones  Tabla I'!$B$5:$AC$110,16,FALSE)</f>
        <v>0</v>
      </c>
      <c r="S66" s="25">
        <f t="shared" si="8"/>
        <v>20675</v>
      </c>
      <c r="T66" s="30">
        <f t="shared" si="9"/>
        <v>1.2834200079267123E-4</v>
      </c>
      <c r="U66" s="30">
        <f t="shared" si="10"/>
        <v>4.3636280269508218E-5</v>
      </c>
      <c r="V66" s="30">
        <f t="shared" si="11"/>
        <v>1.1755716993214945E-4</v>
      </c>
      <c r="W66" s="31">
        <f t="shared" si="12"/>
        <v>5.290072646946725E-6</v>
      </c>
      <c r="X66" s="30">
        <f t="shared" si="16"/>
        <v>2.5668400158534244E-6</v>
      </c>
      <c r="Y66" s="31">
        <f>VLOOKUP(B66,'[1]Participaciones  Tabla I'!$A$5:$X$110,24,FALSE)</f>
        <v>55.370599847421801</v>
      </c>
      <c r="Z66" s="22">
        <f t="shared" si="17"/>
        <v>4211.0308057004313</v>
      </c>
      <c r="AA66" s="33">
        <f t="shared" si="13"/>
        <v>2.7508179646088585E-3</v>
      </c>
      <c r="AB66" s="33">
        <f t="shared" si="18"/>
        <v>6.877044911522146E-5</v>
      </c>
      <c r="AC66" s="33">
        <f t="shared" si="19"/>
        <v>3.3750000000000004E-3</v>
      </c>
      <c r="AD66" s="34">
        <f t="shared" si="20"/>
        <v>5.4025504933165628E-3</v>
      </c>
      <c r="AE66" s="59">
        <f>VLOOKUP(B66,[2]coeficientes!$A:$E,5,0)-AD66</f>
        <v>0</v>
      </c>
      <c r="AF66" s="62"/>
      <c r="AG66" s="62"/>
      <c r="AH66" s="2" t="s">
        <v>149</v>
      </c>
      <c r="AI66" s="2" t="s">
        <v>150</v>
      </c>
      <c r="AJ66" s="2">
        <f t="shared" si="14"/>
        <v>55.370599847421801</v>
      </c>
      <c r="AK66" s="2" t="s">
        <v>151</v>
      </c>
      <c r="AL66" s="2" t="s">
        <v>152</v>
      </c>
      <c r="AM66" s="60">
        <f t="shared" si="15"/>
        <v>3512</v>
      </c>
      <c r="AN66" s="61" t="s">
        <v>153</v>
      </c>
      <c r="AO66" s="2" t="str">
        <f t="shared" si="21"/>
        <v>@((((55.3705998474218+2.44852)*3512/65540751.1074742)))</v>
      </c>
    </row>
    <row r="67" spans="1:41" s="2" customFormat="1" ht="13.5" x14ac:dyDescent="0.2">
      <c r="A67" s="2" t="s">
        <v>215</v>
      </c>
      <c r="B67" s="20">
        <v>84</v>
      </c>
      <c r="C67" s="21" t="s">
        <v>115</v>
      </c>
      <c r="D67" s="22">
        <f>VLOOKUP(B67,'[1]Participaciones  Tabla I'!A$5:C$110,3)</f>
        <v>7037</v>
      </c>
      <c r="E67" s="24">
        <f t="shared" si="0"/>
        <v>6.1079184210549161E-3</v>
      </c>
      <c r="F67" s="24">
        <f t="shared" si="1"/>
        <v>3.9090677894751463E-3</v>
      </c>
      <c r="G67" s="25">
        <f>VLOOKUP(C67,'[1]Participaciones  Tabla I'!$B$5:$AC$110,5,FALSE)</f>
        <v>0</v>
      </c>
      <c r="H67" s="25">
        <f>VLOOKUP(C67,'[1]Participaciones  Tabla I'!$B$5:$AC$110,6,FALSE)</f>
        <v>0</v>
      </c>
      <c r="I67" s="25">
        <f t="shared" si="2"/>
        <v>0</v>
      </c>
      <c r="J67" s="26">
        <f t="shared" si="3"/>
        <v>0</v>
      </c>
      <c r="K67" s="26">
        <f t="shared" si="4"/>
        <v>0</v>
      </c>
      <c r="L67" s="27">
        <f>VLOOKUP(C67,'[1]Participaciones  Tabla I'!$B$5:$AC$110,10,FALSE)</f>
        <v>0</v>
      </c>
      <c r="M67" s="27">
        <f>VLOOKUP(C67,'[1]Participaciones  Tabla I'!$B$5:$AC$110,11,FALSE)</f>
        <v>0</v>
      </c>
      <c r="N67" s="25">
        <f t="shared" si="5"/>
        <v>0</v>
      </c>
      <c r="O67" s="28">
        <f t="shared" si="6"/>
        <v>0</v>
      </c>
      <c r="P67" s="29">
        <f t="shared" si="7"/>
        <v>0</v>
      </c>
      <c r="Q67" s="27">
        <f>VLOOKUP(C67,'[1]Participaciones  Tabla I'!$B$5:$AC$110,15,FALSE)</f>
        <v>31187.759999999998</v>
      </c>
      <c r="R67" s="27">
        <f>VLOOKUP(C67,'[1]Participaciones  Tabla I'!$B$5:$AC$110,16,FALSE)</f>
        <v>0</v>
      </c>
      <c r="S67" s="25">
        <f t="shared" si="8"/>
        <v>31187.759999999998</v>
      </c>
      <c r="T67" s="30">
        <f t="shared" si="9"/>
        <v>1.9360094406972863E-4</v>
      </c>
      <c r="U67" s="30">
        <f t="shared" si="10"/>
        <v>6.5824320983707738E-5</v>
      </c>
      <c r="V67" s="30">
        <f t="shared" si="11"/>
        <v>6.5824320983707738E-5</v>
      </c>
      <c r="W67" s="31">
        <f t="shared" si="12"/>
        <v>2.9620944442668481E-6</v>
      </c>
      <c r="X67" s="30">
        <f t="shared" si="16"/>
        <v>3.8720188813945731E-6</v>
      </c>
      <c r="Y67" s="31">
        <f>VLOOKUP(B67,'[1]Participaciones  Tabla I'!$A$5:$X$110,24,FALSE)</f>
        <v>53.2971545292461</v>
      </c>
      <c r="Z67" s="22">
        <f t="shared" si="17"/>
        <v>10562.074672912411</v>
      </c>
      <c r="AA67" s="33">
        <f t="shared" si="13"/>
        <v>6.8995801964823224E-3</v>
      </c>
      <c r="AB67" s="33">
        <f t="shared" si="18"/>
        <v>1.7248950491205808E-4</v>
      </c>
      <c r="AC67" s="33">
        <f t="shared" si="19"/>
        <v>3.3750000000000004E-3</v>
      </c>
      <c r="AD67" s="34">
        <f t="shared" si="20"/>
        <v>7.4633914077128667E-3</v>
      </c>
      <c r="AE67" s="59">
        <f>VLOOKUP(B67,[2]coeficientes!$A:$E,5,0)-AD67</f>
        <v>0</v>
      </c>
      <c r="AF67" s="62"/>
      <c r="AG67" s="62"/>
      <c r="AH67" s="2" t="s">
        <v>149</v>
      </c>
      <c r="AI67" s="2" t="s">
        <v>150</v>
      </c>
      <c r="AJ67" s="2">
        <f t="shared" si="14"/>
        <v>53.2971545292461</v>
      </c>
      <c r="AK67" s="2" t="s">
        <v>151</v>
      </c>
      <c r="AL67" s="2" t="s">
        <v>152</v>
      </c>
      <c r="AM67" s="60">
        <f t="shared" si="15"/>
        <v>7037</v>
      </c>
      <c r="AN67" s="61" t="s">
        <v>153</v>
      </c>
      <c r="AO67" s="2" t="str">
        <f t="shared" si="21"/>
        <v>@((((53.2971545292461+2.44852)*7037/65540751.1074742)))</v>
      </c>
    </row>
    <row r="68" spans="1:41" s="2" customFormat="1" ht="13.5" x14ac:dyDescent="0.2">
      <c r="A68" s="2" t="s">
        <v>216</v>
      </c>
      <c r="B68" s="20">
        <v>85</v>
      </c>
      <c r="C68" s="21" t="s">
        <v>116</v>
      </c>
      <c r="D68" s="22">
        <f>VLOOKUP(B68,'[1]Participaciones  Tabla I'!A$5:C$110,3)</f>
        <v>16680</v>
      </c>
      <c r="E68" s="24">
        <f t="shared" si="0"/>
        <v>1.4477771673041921E-2</v>
      </c>
      <c r="F68" s="24">
        <f t="shared" si="1"/>
        <v>9.2657738707468303E-3</v>
      </c>
      <c r="G68" s="25">
        <f>VLOOKUP(C68,'[1]Participaciones  Tabla I'!$B$5:$AC$110,5,FALSE)</f>
        <v>77818.44</v>
      </c>
      <c r="H68" s="25">
        <f>VLOOKUP(C68,'[1]Participaciones  Tabla I'!$B$5:$AC$110,6,FALSE)</f>
        <v>13580</v>
      </c>
      <c r="I68" s="25">
        <f t="shared" si="2"/>
        <v>91398.44</v>
      </c>
      <c r="J68" s="26">
        <f t="shared" si="3"/>
        <v>6.9397298579493077E-4</v>
      </c>
      <c r="K68" s="26">
        <f t="shared" si="4"/>
        <v>2.2901108531232716E-4</v>
      </c>
      <c r="L68" s="27">
        <f>VLOOKUP(C68,'[1]Participaciones  Tabla I'!$B$5:$AC$110,10,FALSE)</f>
        <v>30516.38</v>
      </c>
      <c r="M68" s="27">
        <f>VLOOKUP(C68,'[1]Participaciones  Tabla I'!$B$5:$AC$110,11,FALSE)</f>
        <v>46425</v>
      </c>
      <c r="N68" s="25">
        <f t="shared" si="5"/>
        <v>76941.38</v>
      </c>
      <c r="O68" s="28">
        <f t="shared" si="6"/>
        <v>5.9667912584085805E-4</v>
      </c>
      <c r="P68" s="29">
        <f t="shared" si="7"/>
        <v>1.9690411152748316E-4</v>
      </c>
      <c r="Q68" s="27">
        <f>VLOOKUP(C68,'[1]Participaciones  Tabla I'!$B$5:$AC$110,15,FALSE)</f>
        <v>91988.479999999996</v>
      </c>
      <c r="R68" s="27">
        <f>VLOOKUP(C68,'[1]Participaciones  Tabla I'!$B$5:$AC$110,16,FALSE)</f>
        <v>90214</v>
      </c>
      <c r="S68" s="25">
        <f t="shared" si="8"/>
        <v>182202.47999999998</v>
      </c>
      <c r="T68" s="30">
        <f t="shared" si="9"/>
        <v>1.1310389761831517E-3</v>
      </c>
      <c r="U68" s="30">
        <f t="shared" si="10"/>
        <v>3.845532519022716E-4</v>
      </c>
      <c r="V68" s="30">
        <f t="shared" si="11"/>
        <v>8.1046844874208186E-4</v>
      </c>
      <c r="W68" s="31">
        <f t="shared" si="12"/>
        <v>3.6471080193393684E-5</v>
      </c>
      <c r="X68" s="30">
        <f t="shared" si="16"/>
        <v>2.2620779523663034E-5</v>
      </c>
      <c r="Y68" s="31">
        <f>VLOOKUP(B68,'[1]Participaciones  Tabla I'!$A$5:$X$110,24,FALSE)</f>
        <v>51.747656674820597</v>
      </c>
      <c r="Z68" s="22">
        <f t="shared" si="17"/>
        <v>28798.707018277284</v>
      </c>
      <c r="AA68" s="33">
        <f t="shared" si="13"/>
        <v>1.8812496103363819E-2</v>
      </c>
      <c r="AB68" s="33">
        <f t="shared" si="18"/>
        <v>4.7031240258409547E-4</v>
      </c>
      <c r="AC68" s="33">
        <f t="shared" si="19"/>
        <v>3.3750000000000004E-3</v>
      </c>
      <c r="AD68" s="34">
        <f t="shared" si="20"/>
        <v>1.3170178133047983E-2</v>
      </c>
      <c r="AE68" s="59">
        <f>VLOOKUP(B68,[2]coeficientes!$A:$E,5,0)-AD68</f>
        <v>0</v>
      </c>
      <c r="AF68" s="62"/>
      <c r="AG68" s="62"/>
      <c r="AH68" s="2" t="s">
        <v>149</v>
      </c>
      <c r="AI68" s="2" t="s">
        <v>150</v>
      </c>
      <c r="AJ68" s="2">
        <f t="shared" si="14"/>
        <v>51.747656674820597</v>
      </c>
      <c r="AK68" s="2" t="s">
        <v>151</v>
      </c>
      <c r="AL68" s="2" t="s">
        <v>152</v>
      </c>
      <c r="AM68" s="60">
        <f t="shared" si="15"/>
        <v>16680</v>
      </c>
      <c r="AN68" s="61" t="s">
        <v>153</v>
      </c>
      <c r="AO68" s="2" t="str">
        <f t="shared" si="21"/>
        <v>@((((51.7476566748206+2.44852)*16680/65540751.1074742)))</v>
      </c>
    </row>
    <row r="69" spans="1:41" s="2" customFormat="1" ht="13.5" x14ac:dyDescent="0.2">
      <c r="A69" s="2" t="s">
        <v>217</v>
      </c>
      <c r="B69" s="20">
        <v>86</v>
      </c>
      <c r="C69" s="21" t="s">
        <v>117</v>
      </c>
      <c r="D69" s="22">
        <f>VLOOKUP(B69,'[1]Participaciones  Tabla I'!A$5:C$110,3)</f>
        <v>2133</v>
      </c>
      <c r="E69" s="24">
        <f t="shared" ref="E69:E84" si="22">D69/$D$85</f>
        <v>1.8513841114267636E-3</v>
      </c>
      <c r="F69" s="24">
        <f t="shared" ref="F69:F84" si="23">E69*0.64</f>
        <v>1.1848858313131287E-3</v>
      </c>
      <c r="G69" s="25">
        <f>VLOOKUP(C69,'[1]Participaciones  Tabla I'!$B$5:$AC$110,5,FALSE)</f>
        <v>20790</v>
      </c>
      <c r="H69" s="25">
        <f>VLOOKUP(C69,'[1]Participaciones  Tabla I'!$B$5:$AC$110,6,FALSE)</f>
        <v>0</v>
      </c>
      <c r="I69" s="25">
        <f t="shared" ref="I69:I84" si="24">G69+H69</f>
        <v>20790</v>
      </c>
      <c r="J69" s="26">
        <f t="shared" ref="J69:J84" si="25">I69/$I$85</f>
        <v>1.5785497405291173E-4</v>
      </c>
      <c r="K69" s="26">
        <f t="shared" ref="K69:K84" si="26">J69*0.33</f>
        <v>5.2092141437460873E-5</v>
      </c>
      <c r="L69" s="27">
        <f>VLOOKUP(C69,'[1]Participaciones  Tabla I'!$B$5:$AC$110,10,FALSE)</f>
        <v>11842</v>
      </c>
      <c r="M69" s="27">
        <f>VLOOKUP(C69,'[1]Participaciones  Tabla I'!$B$5:$AC$110,11,FALSE)</f>
        <v>0</v>
      </c>
      <c r="N69" s="25">
        <f t="shared" ref="N69:N84" si="27">L69+M69</f>
        <v>11842</v>
      </c>
      <c r="O69" s="28">
        <f t="shared" ref="O69:O84" si="28">N69/$N$85</f>
        <v>9.1834513602530136E-5</v>
      </c>
      <c r="P69" s="29">
        <f t="shared" ref="P69:P84" si="29">O69*0.33</f>
        <v>3.0305389488834948E-5</v>
      </c>
      <c r="Q69" s="27">
        <f>VLOOKUP(C69,'[1]Participaciones  Tabla I'!$B$5:$AC$110,15,FALSE)</f>
        <v>6513</v>
      </c>
      <c r="R69" s="27">
        <f>VLOOKUP(C69,'[1]Participaciones  Tabla I'!$B$5:$AC$110,16,FALSE)</f>
        <v>0</v>
      </c>
      <c r="S69" s="25">
        <f t="shared" ref="S69:S84" si="30">Q69+R69</f>
        <v>6513</v>
      </c>
      <c r="T69" s="30">
        <f t="shared" ref="T69:T84" si="31">S69/$S$85</f>
        <v>4.0430058097347894E-5</v>
      </c>
      <c r="U69" s="30">
        <f t="shared" ref="U69:U84" si="32">T69*0.34</f>
        <v>1.3746219753098285E-5</v>
      </c>
      <c r="V69" s="30">
        <f t="shared" ref="V69:V84" si="33">K69+P69+U69</f>
        <v>9.6143750679394111E-5</v>
      </c>
      <c r="W69" s="31">
        <f t="shared" ref="W69:W84" si="34">V69*0.045</f>
        <v>4.3264687805727347E-6</v>
      </c>
      <c r="X69" s="30">
        <f t="shared" si="16"/>
        <v>8.086011619469579E-7</v>
      </c>
      <c r="Y69" s="31">
        <f>VLOOKUP(B69,'[1]Participaciones  Tabla I'!$A$5:$X$110,24,FALSE)</f>
        <v>50.617111523905002</v>
      </c>
      <c r="Z69" s="22">
        <f t="shared" si="17"/>
        <v>4033.819883000745</v>
      </c>
      <c r="AA69" s="33">
        <f t="shared" ref="AA69:AA84" si="35">Z69/$Z$85</f>
        <v>2.6350565246717962E-3</v>
      </c>
      <c r="AB69" s="33">
        <f t="shared" si="18"/>
        <v>6.5876413116794914E-5</v>
      </c>
      <c r="AC69" s="33">
        <f t="shared" si="19"/>
        <v>3.3750000000000004E-3</v>
      </c>
      <c r="AD69" s="34">
        <f t="shared" si="20"/>
        <v>4.630897314372444E-3</v>
      </c>
      <c r="AE69" s="59">
        <f>VLOOKUP(B69,[2]coeficientes!$A:$E,5,0)-AD69</f>
        <v>0</v>
      </c>
      <c r="AF69" s="62"/>
      <c r="AG69" s="62"/>
      <c r="AH69" s="2" t="s">
        <v>149</v>
      </c>
      <c r="AI69" s="2" t="s">
        <v>150</v>
      </c>
      <c r="AJ69" s="2">
        <f t="shared" ref="AJ69:AJ84" si="36">Y69</f>
        <v>50.617111523905002</v>
      </c>
      <c r="AK69" s="2" t="s">
        <v>151</v>
      </c>
      <c r="AL69" s="2" t="s">
        <v>152</v>
      </c>
      <c r="AM69" s="60">
        <f t="shared" ref="AM69:AM84" si="37">D69</f>
        <v>2133</v>
      </c>
      <c r="AN69" s="61" t="s">
        <v>153</v>
      </c>
      <c r="AO69" s="2" t="str">
        <f t="shared" si="21"/>
        <v>@((((50.617111523905+2.44852)*2133/65540751.1074742)))</v>
      </c>
    </row>
    <row r="70" spans="1:41" s="2" customFormat="1" ht="13.5" x14ac:dyDescent="0.2">
      <c r="A70" s="2" t="s">
        <v>218</v>
      </c>
      <c r="B70" s="20">
        <v>87</v>
      </c>
      <c r="C70" s="21" t="s">
        <v>118</v>
      </c>
      <c r="D70" s="22">
        <f>VLOOKUP(B70,'[1]Participaciones  Tabla I'!A$5:C$110,3)</f>
        <v>5464</v>
      </c>
      <c r="E70" s="24">
        <f t="shared" si="22"/>
        <v>4.7425985864209264E-3</v>
      </c>
      <c r="F70" s="24">
        <f t="shared" si="23"/>
        <v>3.035263095309393E-3</v>
      </c>
      <c r="G70" s="25">
        <f>VLOOKUP(C70,'[1]Participaciones  Tabla I'!$B$5:$AC$110,5,FALSE)</f>
        <v>0</v>
      </c>
      <c r="H70" s="25">
        <f>VLOOKUP(C70,'[1]Participaciones  Tabla I'!$B$5:$AC$110,6,FALSE)</f>
        <v>0</v>
      </c>
      <c r="I70" s="25">
        <f t="shared" si="24"/>
        <v>0</v>
      </c>
      <c r="J70" s="26">
        <f t="shared" si="25"/>
        <v>0</v>
      </c>
      <c r="K70" s="26">
        <f t="shared" si="26"/>
        <v>0</v>
      </c>
      <c r="L70" s="27">
        <f>VLOOKUP(C70,'[1]Participaciones  Tabla I'!$B$5:$AC$110,10,FALSE)</f>
        <v>0</v>
      </c>
      <c r="M70" s="27">
        <f>VLOOKUP(C70,'[1]Participaciones  Tabla I'!$B$5:$AC$110,11,FALSE)</f>
        <v>0</v>
      </c>
      <c r="N70" s="25">
        <f t="shared" si="27"/>
        <v>0</v>
      </c>
      <c r="O70" s="28">
        <f t="shared" si="28"/>
        <v>0</v>
      </c>
      <c r="P70" s="29">
        <f t="shared" si="29"/>
        <v>0</v>
      </c>
      <c r="Q70" s="27">
        <f>VLOOKUP(C70,'[1]Participaciones  Tabla I'!$B$5:$AC$110,15,FALSE)</f>
        <v>26669</v>
      </c>
      <c r="R70" s="27">
        <f>VLOOKUP(C70,'[1]Participaciones  Tabla I'!$B$5:$AC$110,16,FALSE)</f>
        <v>405</v>
      </c>
      <c r="S70" s="25">
        <f t="shared" si="30"/>
        <v>27074</v>
      </c>
      <c r="T70" s="30">
        <f t="shared" si="31"/>
        <v>1.6806439320245613E-4</v>
      </c>
      <c r="U70" s="30">
        <f t="shared" si="32"/>
        <v>5.7141893688835087E-5</v>
      </c>
      <c r="V70" s="30">
        <f t="shared" si="33"/>
        <v>5.7141893688835087E-5</v>
      </c>
      <c r="W70" s="31">
        <f t="shared" si="34"/>
        <v>2.571385215997579E-6</v>
      </c>
      <c r="X70" s="30">
        <f t="shared" ref="X70:X84" si="38">T70*0.02</f>
        <v>3.3612878640491228E-6</v>
      </c>
      <c r="Y70" s="31">
        <f>VLOOKUP(B70,'[1]Participaciones  Tabla I'!$A$5:$X$110,24,FALSE)</f>
        <v>51.139743750078402</v>
      </c>
      <c r="Z70" s="22">
        <f t="shared" ref="Z70:Z84" si="39">D70*(9.261-0.1456*Y70)</f>
        <v>9917.4512857776226</v>
      </c>
      <c r="AA70" s="33">
        <f t="shared" si="35"/>
        <v>6.4784857719682653E-3</v>
      </c>
      <c r="AB70" s="33">
        <f t="shared" ref="AB70:AB83" si="40">AA70*0.025</f>
        <v>1.6196214429920665E-4</v>
      </c>
      <c r="AC70" s="33">
        <f t="shared" ref="AC70:AC84" si="41">0.27/80</f>
        <v>3.3750000000000004E-3</v>
      </c>
      <c r="AD70" s="34">
        <f t="shared" ref="AD70:AD84" si="42">F70+W70+X70+AB70+AC70</f>
        <v>6.5781579126886463E-3</v>
      </c>
      <c r="AE70" s="59">
        <f>VLOOKUP(B70,[2]coeficientes!$A:$E,5,0)-AD70</f>
        <v>0</v>
      </c>
      <c r="AF70" s="62"/>
      <c r="AG70" s="62"/>
      <c r="AH70" s="2" t="s">
        <v>149</v>
      </c>
      <c r="AI70" s="2" t="s">
        <v>150</v>
      </c>
      <c r="AJ70" s="2">
        <f t="shared" si="36"/>
        <v>51.139743750078402</v>
      </c>
      <c r="AK70" s="2" t="s">
        <v>151</v>
      </c>
      <c r="AL70" s="2" t="s">
        <v>152</v>
      </c>
      <c r="AM70" s="60">
        <f t="shared" si="37"/>
        <v>5464</v>
      </c>
      <c r="AN70" s="61" t="s">
        <v>153</v>
      </c>
      <c r="AO70" s="2" t="str">
        <f t="shared" ref="AO70:AO84" si="43">CONCATENATE(AH70,AI70,AJ70,AK70,AL70,AM70,AN70)</f>
        <v>@((((51.1397437500784+2.44852)*5464/65540751.1074742)))</v>
      </c>
    </row>
    <row r="71" spans="1:41" s="2" customFormat="1" ht="13.5" x14ac:dyDescent="0.2">
      <c r="A71" s="2" t="s">
        <v>219</v>
      </c>
      <c r="B71" s="20">
        <v>88</v>
      </c>
      <c r="C71" s="39" t="s">
        <v>119</v>
      </c>
      <c r="D71" s="22">
        <f>VLOOKUP(B71,'[1]Participaciones  Tabla I'!A$5:C$110,3)</f>
        <v>1917</v>
      </c>
      <c r="E71" s="24">
        <f t="shared" si="22"/>
        <v>1.6639021760924077E-3</v>
      </c>
      <c r="F71" s="24">
        <f t="shared" si="23"/>
        <v>1.064897392699141E-3</v>
      </c>
      <c r="G71" s="25">
        <f>VLOOKUP(C71,'[1]Participaciones  Tabla I'!$B$5:$AC$110,5,FALSE)</f>
        <v>0</v>
      </c>
      <c r="H71" s="25">
        <f>VLOOKUP(C71,'[1]Participaciones  Tabla I'!$B$5:$AC$110,6,FALSE)</f>
        <v>0</v>
      </c>
      <c r="I71" s="25">
        <f t="shared" si="24"/>
        <v>0</v>
      </c>
      <c r="J71" s="26">
        <f t="shared" si="25"/>
        <v>0</v>
      </c>
      <c r="K71" s="26">
        <f t="shared" si="26"/>
        <v>0</v>
      </c>
      <c r="L71" s="27">
        <f>VLOOKUP(C71,'[1]Participaciones  Tabla I'!$B$5:$AC$110,10,FALSE)</f>
        <v>8760</v>
      </c>
      <c r="M71" s="27">
        <f>VLOOKUP(C71,'[1]Participaciones  Tabla I'!$B$5:$AC$110,11,FALSE)</f>
        <v>0</v>
      </c>
      <c r="N71" s="25">
        <f t="shared" si="27"/>
        <v>8760</v>
      </c>
      <c r="O71" s="28">
        <f t="shared" si="28"/>
        <v>6.7933654716953559E-5</v>
      </c>
      <c r="P71" s="29">
        <f t="shared" si="29"/>
        <v>2.2418106056594677E-5</v>
      </c>
      <c r="Q71" s="27">
        <f>VLOOKUP(C71,'[1]Participaciones  Tabla I'!$B$5:$AC$110,15,FALSE)</f>
        <v>22760</v>
      </c>
      <c r="R71" s="27">
        <f>VLOOKUP(C71,'[1]Participaciones  Tabla I'!$B$5:$AC$110,16,FALSE)</f>
        <v>0</v>
      </c>
      <c r="S71" s="25">
        <f t="shared" si="30"/>
        <v>22760</v>
      </c>
      <c r="T71" s="30">
        <f t="shared" si="31"/>
        <v>1.4128483376257299E-4</v>
      </c>
      <c r="U71" s="30">
        <f t="shared" si="32"/>
        <v>4.8036843479274821E-5</v>
      </c>
      <c r="V71" s="30">
        <f t="shared" si="33"/>
        <v>7.0454949535869501E-5</v>
      </c>
      <c r="W71" s="31">
        <f t="shared" si="34"/>
        <v>3.1704727291141276E-6</v>
      </c>
      <c r="X71" s="30">
        <f t="shared" si="38"/>
        <v>2.8256966752514597E-6</v>
      </c>
      <c r="Y71" s="31">
        <f>VLOOKUP(B71,'[1]Participaciones  Tabla I'!$A$5:$X$110,24,FALSE)</f>
        <v>52.540547336063703</v>
      </c>
      <c r="Z71" s="22">
        <f t="shared" si="39"/>
        <v>3088.4716221851104</v>
      </c>
      <c r="AA71" s="33">
        <f t="shared" si="35"/>
        <v>2.0175162836592771E-3</v>
      </c>
      <c r="AB71" s="33">
        <f t="shared" si="40"/>
        <v>5.0437907091481929E-5</v>
      </c>
      <c r="AC71" s="33">
        <f t="shared" si="41"/>
        <v>3.3750000000000004E-3</v>
      </c>
      <c r="AD71" s="34">
        <f t="shared" si="42"/>
        <v>4.4963314691949894E-3</v>
      </c>
      <c r="AE71" s="59">
        <f>VLOOKUP(B71,[2]coeficientes!$A:$E,5,0)-AD71</f>
        <v>0</v>
      </c>
      <c r="AF71" s="62"/>
      <c r="AG71" s="62"/>
      <c r="AH71" s="2" t="s">
        <v>149</v>
      </c>
      <c r="AI71" s="2" t="s">
        <v>150</v>
      </c>
      <c r="AJ71" s="2">
        <f t="shared" si="36"/>
        <v>52.540547336063703</v>
      </c>
      <c r="AK71" s="2" t="s">
        <v>151</v>
      </c>
      <c r="AL71" s="2" t="s">
        <v>152</v>
      </c>
      <c r="AM71" s="60">
        <f t="shared" si="37"/>
        <v>1917</v>
      </c>
      <c r="AN71" s="61" t="s">
        <v>153</v>
      </c>
      <c r="AO71" s="2" t="str">
        <f t="shared" si="43"/>
        <v>@((((52.5405473360637+2.44852)*1917/65540751.1074742)))</v>
      </c>
    </row>
    <row r="72" spans="1:41" s="2" customFormat="1" ht="13.5" x14ac:dyDescent="0.2">
      <c r="A72" s="2" t="s">
        <v>220</v>
      </c>
      <c r="B72" s="20">
        <v>89</v>
      </c>
      <c r="C72" s="21" t="s">
        <v>120</v>
      </c>
      <c r="D72" s="22">
        <f>VLOOKUP(B72,'[1]Participaciones  Tabla I'!A$5:C$110,3)</f>
        <v>40495</v>
      </c>
      <c r="E72" s="24">
        <f t="shared" si="22"/>
        <v>3.5148523015577492E-2</v>
      </c>
      <c r="F72" s="24">
        <f t="shared" si="23"/>
        <v>2.2495054729969596E-2</v>
      </c>
      <c r="G72" s="25">
        <f>VLOOKUP(C72,'[1]Participaciones  Tabla I'!$B$5:$AC$110,5,FALSE)</f>
        <v>812930.5</v>
      </c>
      <c r="H72" s="25">
        <f>VLOOKUP(C72,'[1]Participaciones  Tabla I'!$B$5:$AC$110,6,FALSE)</f>
        <v>1774445.28</v>
      </c>
      <c r="I72" s="25">
        <f t="shared" si="24"/>
        <v>2587375.7800000003</v>
      </c>
      <c r="J72" s="26">
        <f t="shared" si="25"/>
        <v>1.9645509216788471E-2</v>
      </c>
      <c r="K72" s="26">
        <f t="shared" si="26"/>
        <v>6.4830180415401959E-3</v>
      </c>
      <c r="L72" s="27">
        <f>VLOOKUP(C72,'[1]Participaciones  Tabla I'!$B$5:$AC$110,10,FALSE)</f>
        <v>1030117.99</v>
      </c>
      <c r="M72" s="27">
        <f>VLOOKUP(C72,'[1]Participaciones  Tabla I'!$B$5:$AC$110,11,FALSE)</f>
        <v>1543070.79</v>
      </c>
      <c r="N72" s="25">
        <f t="shared" si="27"/>
        <v>2573188.7800000003</v>
      </c>
      <c r="O72" s="28">
        <f t="shared" si="28"/>
        <v>1.9955036313020431E-2</v>
      </c>
      <c r="P72" s="29">
        <f t="shared" si="29"/>
        <v>6.5851619832967426E-3</v>
      </c>
      <c r="Q72" s="27">
        <f>VLOOKUP(C72,'[1]Participaciones  Tabla I'!$B$5:$AC$110,15,FALSE)</f>
        <v>1102499.6100000001</v>
      </c>
      <c r="R72" s="27">
        <f>VLOOKUP(C72,'[1]Participaciones  Tabla I'!$B$5:$AC$110,16,FALSE)</f>
        <v>1757771.21</v>
      </c>
      <c r="S72" s="25">
        <f t="shared" si="30"/>
        <v>2860270.8200000003</v>
      </c>
      <c r="T72" s="30">
        <f t="shared" si="31"/>
        <v>1.7755399267119439E-2</v>
      </c>
      <c r="U72" s="30">
        <f>T72*0.34</f>
        <v>6.0368357508206096E-3</v>
      </c>
      <c r="V72" s="30">
        <f t="shared" si="33"/>
        <v>1.9105015775657548E-2</v>
      </c>
      <c r="W72" s="31">
        <f t="shared" si="34"/>
        <v>8.5972570990458963E-4</v>
      </c>
      <c r="X72" s="30">
        <f t="shared" si="38"/>
        <v>3.551079853423888E-4</v>
      </c>
      <c r="Y72" s="31">
        <f>VLOOKUP(B72,'[1]Participaciones  Tabla I'!$A$5:$X$110,24,FALSE)</f>
        <v>56.026230148359701</v>
      </c>
      <c r="Z72" s="22">
        <f t="shared" si="39"/>
        <v>44689.508156700453</v>
      </c>
      <c r="AA72" s="33">
        <f t="shared" si="35"/>
        <v>2.9193018892327484E-2</v>
      </c>
      <c r="AB72" s="33">
        <f t="shared" si="40"/>
        <v>7.2982547230818716E-4</v>
      </c>
      <c r="AC72" s="33">
        <f t="shared" si="41"/>
        <v>3.3750000000000004E-3</v>
      </c>
      <c r="AD72" s="34">
        <f t="shared" si="42"/>
        <v>2.7814713897524757E-2</v>
      </c>
      <c r="AE72" s="59">
        <f>VLOOKUP(B72,[2]coeficientes!$A:$E,5,0)-AD72</f>
        <v>0</v>
      </c>
      <c r="AF72" s="62"/>
      <c r="AG72" s="62"/>
      <c r="AH72" s="2" t="s">
        <v>149</v>
      </c>
      <c r="AI72" s="2" t="s">
        <v>150</v>
      </c>
      <c r="AJ72" s="2">
        <f t="shared" si="36"/>
        <v>56.026230148359701</v>
      </c>
      <c r="AK72" s="2" t="s">
        <v>151</v>
      </c>
      <c r="AL72" s="2" t="s">
        <v>152</v>
      </c>
      <c r="AM72" s="60">
        <f t="shared" si="37"/>
        <v>40495</v>
      </c>
      <c r="AN72" s="61" t="s">
        <v>153</v>
      </c>
      <c r="AO72" s="2" t="str">
        <f t="shared" si="43"/>
        <v>@((((56.0262301483597+2.44852)*40495/65540751.1074742)))</v>
      </c>
    </row>
    <row r="73" spans="1:41" s="2" customFormat="1" ht="13.5" x14ac:dyDescent="0.2">
      <c r="A73" s="2" t="s">
        <v>221</v>
      </c>
      <c r="B73" s="20">
        <v>90</v>
      </c>
      <c r="C73" s="21" t="s">
        <v>121</v>
      </c>
      <c r="D73" s="22">
        <f>VLOOKUP(B73,'[1]Participaciones  Tabla I'!A$5:C$110,3)</f>
        <v>7503</v>
      </c>
      <c r="E73" s="24">
        <f t="shared" si="22"/>
        <v>6.5123933371003312E-3</v>
      </c>
      <c r="F73" s="24">
        <f t="shared" si="23"/>
        <v>4.1679317357442118E-3</v>
      </c>
      <c r="G73" s="25">
        <f>VLOOKUP(C73,'[1]Participaciones  Tabla I'!$B$5:$AC$110,5,FALSE)</f>
        <v>8331.5</v>
      </c>
      <c r="H73" s="25">
        <f>VLOOKUP(C73,'[1]Participaciones  Tabla I'!$B$5:$AC$110,6,FALSE)</f>
        <v>1705</v>
      </c>
      <c r="I73" s="25">
        <f t="shared" si="24"/>
        <v>10036.5</v>
      </c>
      <c r="J73" s="26">
        <f t="shared" si="25"/>
        <v>7.6205456810103355E-5</v>
      </c>
      <c r="K73" s="26">
        <f t="shared" si="26"/>
        <v>2.514780074733411E-5</v>
      </c>
      <c r="L73" s="27">
        <f>VLOOKUP(C73,'[1]Participaciones  Tabla I'!$B$5:$AC$110,10,FALSE)</f>
        <v>49357.5</v>
      </c>
      <c r="M73" s="27">
        <f>VLOOKUP(C73,'[1]Participaciones  Tabla I'!$B$5:$AC$110,11,FALSE)</f>
        <v>6823</v>
      </c>
      <c r="N73" s="25">
        <f t="shared" si="27"/>
        <v>56180.5</v>
      </c>
      <c r="O73" s="28">
        <f t="shared" si="28"/>
        <v>4.3567884575637091E-4</v>
      </c>
      <c r="P73" s="29">
        <f t="shared" si="29"/>
        <v>1.437740190996024E-4</v>
      </c>
      <c r="Q73" s="27">
        <f>VLOOKUP(C73,'[1]Participaciones  Tabla I'!$B$5:$AC$110,15,FALSE)</f>
        <v>9038</v>
      </c>
      <c r="R73" s="27">
        <f>VLOOKUP(C73,'[1]Participaciones  Tabla I'!$B$5:$AC$110,16,FALSE)</f>
        <v>8278</v>
      </c>
      <c r="S73" s="25">
        <f t="shared" si="30"/>
        <v>17316</v>
      </c>
      <c r="T73" s="30">
        <f t="shared" si="31"/>
        <v>1.0749069338456564E-4</v>
      </c>
      <c r="U73" s="30">
        <f t="shared" si="32"/>
        <v>3.6546835750752321E-5</v>
      </c>
      <c r="V73" s="30">
        <f t="shared" si="33"/>
        <v>2.0546865559768881E-4</v>
      </c>
      <c r="W73" s="31">
        <f t="shared" si="34"/>
        <v>9.2460895018959959E-6</v>
      </c>
      <c r="X73" s="30">
        <f t="shared" si="38"/>
        <v>2.1498138676913129E-6</v>
      </c>
      <c r="Y73" s="31">
        <f>VLOOKUP(B73,'[1]Participaciones  Tabla I'!$A$5:$X$110,24,FALSE)</f>
        <v>51.884072562114902</v>
      </c>
      <c r="Z73" s="22">
        <f t="shared" si="39"/>
        <v>12805.212799275389</v>
      </c>
      <c r="AA73" s="33">
        <f t="shared" si="35"/>
        <v>8.3648899839921728E-3</v>
      </c>
      <c r="AB73" s="33">
        <f t="shared" si="40"/>
        <v>2.0912224959980432E-4</v>
      </c>
      <c r="AC73" s="33">
        <f t="shared" si="41"/>
        <v>3.3750000000000004E-3</v>
      </c>
      <c r="AD73" s="34">
        <f t="shared" si="42"/>
        <v>7.763449888713604E-3</v>
      </c>
      <c r="AE73" s="59">
        <f>VLOOKUP(B73,[2]coeficientes!$A:$E,5,0)-AD73</f>
        <v>0</v>
      </c>
      <c r="AF73" s="62"/>
      <c r="AG73" s="62"/>
      <c r="AH73" s="2" t="s">
        <v>149</v>
      </c>
      <c r="AI73" s="2" t="s">
        <v>150</v>
      </c>
      <c r="AJ73" s="2">
        <f t="shared" si="36"/>
        <v>51.884072562114902</v>
      </c>
      <c r="AK73" s="2" t="s">
        <v>151</v>
      </c>
      <c r="AL73" s="2" t="s">
        <v>152</v>
      </c>
      <c r="AM73" s="60">
        <f t="shared" si="37"/>
        <v>7503</v>
      </c>
      <c r="AN73" s="61" t="s">
        <v>153</v>
      </c>
      <c r="AO73" s="2" t="str">
        <f t="shared" si="43"/>
        <v>@((((51.8840725621149+2.44852)*7503/65540751.1074742)))</v>
      </c>
    </row>
    <row r="74" spans="1:41" s="2" customFormat="1" ht="13.5" x14ac:dyDescent="0.2">
      <c r="A74" s="2" t="s">
        <v>222</v>
      </c>
      <c r="B74" s="20">
        <v>92</v>
      </c>
      <c r="C74" s="21" t="s">
        <v>123</v>
      </c>
      <c r="D74" s="22">
        <f>VLOOKUP(B74,'[1]Participaciones  Tabla I'!A$5:C$110,3)</f>
        <v>7888</v>
      </c>
      <c r="E74" s="24">
        <f t="shared" si="22"/>
        <v>6.846562527395364E-3</v>
      </c>
      <c r="F74" s="24">
        <f t="shared" si="23"/>
        <v>4.3818000175330331E-3</v>
      </c>
      <c r="G74" s="25">
        <f>VLOOKUP(C74,'[1]Participaciones  Tabla I'!$B$5:$AC$110,5,FALSE)</f>
        <v>11104.63</v>
      </c>
      <c r="H74" s="25">
        <f>VLOOKUP(C74,'[1]Participaciones  Tabla I'!$B$5:$AC$110,6,FALSE)</f>
        <v>0</v>
      </c>
      <c r="I74" s="25">
        <f t="shared" si="24"/>
        <v>11104.63</v>
      </c>
      <c r="J74" s="26">
        <f t="shared" si="25"/>
        <v>8.4315588288464893E-5</v>
      </c>
      <c r="K74" s="26">
        <f t="shared" si="26"/>
        <v>2.7824144135193415E-5</v>
      </c>
      <c r="L74" s="27">
        <f>VLOOKUP(C74,'[1]Participaciones  Tabla I'!$B$5:$AC$110,10,FALSE)</f>
        <v>13828.33</v>
      </c>
      <c r="M74" s="27">
        <f>VLOOKUP(C74,'[1]Participaciones  Tabla I'!$B$5:$AC$110,11,FALSE)</f>
        <v>0</v>
      </c>
      <c r="N74" s="25">
        <f t="shared" si="27"/>
        <v>13828.33</v>
      </c>
      <c r="O74" s="28">
        <f t="shared" si="28"/>
        <v>1.0723846980959936E-4</v>
      </c>
      <c r="P74" s="29">
        <f t="shared" si="29"/>
        <v>3.5388695037167794E-5</v>
      </c>
      <c r="Q74" s="27">
        <f>VLOOKUP(C74,'[1]Participaciones  Tabla I'!$B$5:$AC$110,15,FALSE)</f>
        <v>9226.32</v>
      </c>
      <c r="R74" s="27">
        <f>VLOOKUP(C74,'[1]Participaciones  Tabla I'!$B$5:$AC$110,16,FALSE)</f>
        <v>0</v>
      </c>
      <c r="S74" s="25">
        <f t="shared" si="30"/>
        <v>9226.32</v>
      </c>
      <c r="T74" s="30">
        <f t="shared" si="31"/>
        <v>5.7273246372596775E-5</v>
      </c>
      <c r="U74" s="30">
        <f t="shared" si="32"/>
        <v>1.9472903766682903E-5</v>
      </c>
      <c r="V74" s="30">
        <f t="shared" si="33"/>
        <v>8.2685742939044105E-5</v>
      </c>
      <c r="W74" s="31">
        <f t="shared" si="34"/>
        <v>3.7208584322569845E-6</v>
      </c>
      <c r="X74" s="30">
        <f t="shared" si="38"/>
        <v>1.1454649274519355E-6</v>
      </c>
      <c r="Y74" s="31">
        <f>VLOOKUP(B74,'[1]Participaciones  Tabla I'!$A$5:$X$110,24,FALSE)</f>
        <v>48.945772326207702</v>
      </c>
      <c r="Z74" s="22">
        <f t="shared" si="39"/>
        <v>16836.900892911191</v>
      </c>
      <c r="AA74" s="33">
        <f t="shared" si="35"/>
        <v>1.0998553936452457E-2</v>
      </c>
      <c r="AB74" s="33">
        <f t="shared" si="40"/>
        <v>2.7496384841131145E-4</v>
      </c>
      <c r="AC74" s="33">
        <f t="shared" si="41"/>
        <v>3.3750000000000004E-3</v>
      </c>
      <c r="AD74" s="34">
        <f t="shared" si="42"/>
        <v>8.0366301893040545E-3</v>
      </c>
      <c r="AE74" s="59">
        <f>VLOOKUP(B74,[2]coeficientes!$A:$E,5,0)-AD74</f>
        <v>0</v>
      </c>
      <c r="AF74" s="62"/>
      <c r="AG74" s="62"/>
      <c r="AH74" s="2" t="s">
        <v>149</v>
      </c>
      <c r="AI74" s="2" t="s">
        <v>150</v>
      </c>
      <c r="AJ74" s="2">
        <f t="shared" si="36"/>
        <v>48.945772326207702</v>
      </c>
      <c r="AK74" s="2" t="s">
        <v>151</v>
      </c>
      <c r="AL74" s="2" t="s">
        <v>152</v>
      </c>
      <c r="AM74" s="60">
        <f t="shared" si="37"/>
        <v>7888</v>
      </c>
      <c r="AN74" s="61" t="s">
        <v>153</v>
      </c>
      <c r="AO74" s="2" t="str">
        <f t="shared" si="43"/>
        <v>@((((48.9457723262077+2.44852)*7888/65540751.1074742)))</v>
      </c>
    </row>
    <row r="75" spans="1:41" s="2" customFormat="1" ht="13.5" x14ac:dyDescent="0.2">
      <c r="A75" s="2" t="s">
        <v>223</v>
      </c>
      <c r="B75" s="20">
        <v>95</v>
      </c>
      <c r="C75" s="21" t="s">
        <v>126</v>
      </c>
      <c r="D75" s="22">
        <f>VLOOKUP(B75,'[1]Participaciones  Tabla I'!A$5:C$110,3)</f>
        <v>5690</v>
      </c>
      <c r="E75" s="24">
        <f t="shared" si="22"/>
        <v>4.9387602409837247E-3</v>
      </c>
      <c r="F75" s="24">
        <f t="shared" si="23"/>
        <v>3.160806554229584E-3</v>
      </c>
      <c r="G75" s="25">
        <f>VLOOKUP(C75,'[1]Participaciones  Tabla I'!$B$5:$AC$110,5,FALSE)</f>
        <v>453273.54</v>
      </c>
      <c r="H75" s="25">
        <f>VLOOKUP(C75,'[1]Participaciones  Tabla I'!$B$5:$AC$110,6,FALSE)</f>
        <v>34010</v>
      </c>
      <c r="I75" s="25">
        <f t="shared" si="24"/>
        <v>487283.54</v>
      </c>
      <c r="J75" s="26">
        <f t="shared" si="25"/>
        <v>3.6998619799476179E-3</v>
      </c>
      <c r="K75" s="26">
        <f t="shared" si="26"/>
        <v>1.220954453382714E-3</v>
      </c>
      <c r="L75" s="27">
        <f>VLOOKUP(C75,'[1]Participaciones  Tabla I'!$B$5:$AC$110,10,FALSE)</f>
        <v>80482</v>
      </c>
      <c r="M75" s="27">
        <f>VLOOKUP(C75,'[1]Participaciones  Tabla I'!$B$5:$AC$110,11,FALSE)</f>
        <v>17660</v>
      </c>
      <c r="N75" s="25">
        <f t="shared" si="27"/>
        <v>98142</v>
      </c>
      <c r="O75" s="28">
        <f t="shared" si="28"/>
        <v>7.6108958233233519E-4</v>
      </c>
      <c r="P75" s="29">
        <f t="shared" si="29"/>
        <v>2.5115956216967061E-4</v>
      </c>
      <c r="Q75" s="27">
        <f>VLOOKUP(C75,'[1]Participaciones  Tabla I'!$B$5:$AC$110,15,FALSE)</f>
        <v>154925</v>
      </c>
      <c r="R75" s="27">
        <f>VLOOKUP(C75,'[1]Participaciones  Tabla I'!$B$5:$AC$110,16,FALSE)</f>
        <v>13290</v>
      </c>
      <c r="S75" s="25">
        <f t="shared" si="30"/>
        <v>168215</v>
      </c>
      <c r="T75" s="30">
        <f t="shared" si="31"/>
        <v>1.0442103827491749E-3</v>
      </c>
      <c r="U75" s="30">
        <f t="shared" si="32"/>
        <v>3.550315301347195E-4</v>
      </c>
      <c r="V75" s="30">
        <f t="shared" si="33"/>
        <v>1.8271455456871041E-3</v>
      </c>
      <c r="W75" s="31">
        <f t="shared" si="34"/>
        <v>8.2221549555919676E-5</v>
      </c>
      <c r="X75" s="30">
        <f t="shared" si="38"/>
        <v>2.0884207654983498E-5</v>
      </c>
      <c r="Y75" s="31">
        <f>VLOOKUP(B75,'[1]Participaciones  Tabla I'!$A$5:$X$110,24,FALSE)</f>
        <v>55.0001326669543</v>
      </c>
      <c r="Z75" s="22">
        <f t="shared" si="39"/>
        <v>7129.4600902043667</v>
      </c>
      <c r="AA75" s="33">
        <f t="shared" si="35"/>
        <v>4.6572556219602332E-3</v>
      </c>
      <c r="AB75" s="33">
        <f t="shared" si="40"/>
        <v>1.1643139054900584E-4</v>
      </c>
      <c r="AC75" s="33">
        <f t="shared" si="41"/>
        <v>3.3750000000000004E-3</v>
      </c>
      <c r="AD75" s="34">
        <f t="shared" si="42"/>
        <v>6.755343701989493E-3</v>
      </c>
      <c r="AE75" s="59">
        <f>VLOOKUP(B75,[2]coeficientes!$A:$E,5,0)-AD75</f>
        <v>0</v>
      </c>
      <c r="AF75" s="62"/>
      <c r="AG75" s="62"/>
      <c r="AH75" s="2" t="s">
        <v>149</v>
      </c>
      <c r="AI75" s="2" t="s">
        <v>150</v>
      </c>
      <c r="AJ75" s="2">
        <f t="shared" si="36"/>
        <v>55.0001326669543</v>
      </c>
      <c r="AK75" s="2" t="s">
        <v>151</v>
      </c>
      <c r="AL75" s="2" t="s">
        <v>152</v>
      </c>
      <c r="AM75" s="60">
        <f t="shared" si="37"/>
        <v>5690</v>
      </c>
      <c r="AN75" s="61" t="s">
        <v>153</v>
      </c>
      <c r="AO75" s="2" t="str">
        <f t="shared" si="43"/>
        <v>@((((55.0001326669543+2.44852)*5690/65540751.1074742)))</v>
      </c>
    </row>
    <row r="76" spans="1:41" s="2" customFormat="1" ht="13.5" x14ac:dyDescent="0.2">
      <c r="A76" s="2" t="s">
        <v>224</v>
      </c>
      <c r="B76" s="20">
        <v>96</v>
      </c>
      <c r="C76" s="21" t="s">
        <v>127</v>
      </c>
      <c r="D76" s="22">
        <f>VLOOKUP(B76,'[1]Participaciones  Tabla I'!A$5:C$110,3)</f>
        <v>80672</v>
      </c>
      <c r="E76" s="24">
        <f t="shared" si="22"/>
        <v>7.0021030959690519E-2</v>
      </c>
      <c r="F76" s="24">
        <f t="shared" si="23"/>
        <v>4.4813459814201935E-2</v>
      </c>
      <c r="G76" s="25">
        <f>VLOOKUP(C76,'[1]Participaciones  Tabla I'!$B$5:$AC$110,5,FALSE)</f>
        <v>2788609.47</v>
      </c>
      <c r="H76" s="25">
        <f>VLOOKUP(C76,'[1]Participaciones  Tabla I'!$B$5:$AC$110,6,FALSE)</f>
        <v>7964458.7000000002</v>
      </c>
      <c r="I76" s="25">
        <f t="shared" si="24"/>
        <v>10753068.17</v>
      </c>
      <c r="J76" s="26">
        <f t="shared" si="25"/>
        <v>8.1646238430232859E-2</v>
      </c>
      <c r="K76" s="26">
        <f t="shared" si="26"/>
        <v>2.6943258681976844E-2</v>
      </c>
      <c r="L76" s="27">
        <f>VLOOKUP(C76,'[1]Participaciones  Tabla I'!$B$5:$AC$110,10,FALSE)</f>
        <v>3261751.03</v>
      </c>
      <c r="M76" s="27">
        <f>VLOOKUP(C76,'[1]Participaciones  Tabla I'!$B$5:$AC$110,11,FALSE)</f>
        <v>6571930.9299999997</v>
      </c>
      <c r="N76" s="25">
        <f t="shared" si="27"/>
        <v>9833681.959999999</v>
      </c>
      <c r="O76" s="28">
        <f t="shared" si="28"/>
        <v>7.6260040509928656E-2</v>
      </c>
      <c r="P76" s="29">
        <f t="shared" si="29"/>
        <v>2.5165813368276457E-2</v>
      </c>
      <c r="Q76" s="27">
        <f>VLOOKUP(C76,'[1]Participaciones  Tabla I'!$B$5:$AC$110,15,FALSE)</f>
        <v>4091545.04</v>
      </c>
      <c r="R76" s="27">
        <f>VLOOKUP(C76,'[1]Participaciones  Tabla I'!$B$5:$AC$110,16,FALSE)</f>
        <v>6137486.6100000003</v>
      </c>
      <c r="S76" s="25">
        <f t="shared" si="30"/>
        <v>10229031.65</v>
      </c>
      <c r="T76" s="30">
        <f t="shared" si="31"/>
        <v>6.3497672944742872E-2</v>
      </c>
      <c r="U76" s="30">
        <f t="shared" si="32"/>
        <v>2.1589208801212578E-2</v>
      </c>
      <c r="V76" s="30">
        <f t="shared" si="33"/>
        <v>7.3698280851465875E-2</v>
      </c>
      <c r="W76" s="31">
        <f t="shared" si="34"/>
        <v>3.3164226383159642E-3</v>
      </c>
      <c r="X76" s="30">
        <f t="shared" si="38"/>
        <v>1.2699534588948575E-3</v>
      </c>
      <c r="Y76" s="31">
        <f>VLOOKUP(B76,'[1]Participaciones  Tabla I'!$A$5:$X$110,24,FALSE)</f>
        <v>53.416208398811101</v>
      </c>
      <c r="Z76" s="22">
        <f t="shared" si="39"/>
        <v>119684.98380904166</v>
      </c>
      <c r="AA76" s="33">
        <f t="shared" si="35"/>
        <v>7.818313822595517E-2</v>
      </c>
      <c r="AB76" s="33">
        <f t="shared" si="40"/>
        <v>1.9545784556488795E-3</v>
      </c>
      <c r="AC76" s="33">
        <f t="shared" si="41"/>
        <v>3.3750000000000004E-3</v>
      </c>
      <c r="AD76" s="34">
        <f t="shared" si="42"/>
        <v>5.4729414367061635E-2</v>
      </c>
      <c r="AE76" s="59">
        <f>VLOOKUP(B76,[2]coeficientes!$A:$E,5,0)-AD76</f>
        <v>0</v>
      </c>
      <c r="AF76" s="62"/>
      <c r="AG76" s="62"/>
      <c r="AH76" s="2" t="s">
        <v>149</v>
      </c>
      <c r="AI76" s="2" t="s">
        <v>150</v>
      </c>
      <c r="AJ76" s="2">
        <f t="shared" si="36"/>
        <v>53.416208398811101</v>
      </c>
      <c r="AK76" s="2" t="s">
        <v>151</v>
      </c>
      <c r="AL76" s="2" t="s">
        <v>152</v>
      </c>
      <c r="AM76" s="60">
        <f t="shared" si="37"/>
        <v>80672</v>
      </c>
      <c r="AN76" s="61" t="s">
        <v>153</v>
      </c>
      <c r="AO76" s="2" t="str">
        <f t="shared" si="43"/>
        <v>@((((53.4162083988111+2.44852)*80672/65540751.1074742)))</v>
      </c>
    </row>
    <row r="77" spans="1:41" s="2" customFormat="1" ht="13.5" x14ac:dyDescent="0.2">
      <c r="A77" s="2" t="s">
        <v>225</v>
      </c>
      <c r="B77" s="20">
        <v>97</v>
      </c>
      <c r="C77" s="21" t="s">
        <v>128</v>
      </c>
      <c r="D77" s="22">
        <f>VLOOKUP(B77,'[1]Participaciones  Tabla I'!A$5:C$110,3)</f>
        <v>3684</v>
      </c>
      <c r="E77" s="24">
        <f t="shared" si="22"/>
        <v>3.1976085637581797E-3</v>
      </c>
      <c r="F77" s="24">
        <f t="shared" si="23"/>
        <v>2.046469480805235E-3</v>
      </c>
      <c r="G77" s="25">
        <f>VLOOKUP(C77,'[1]Participaciones  Tabla I'!$B$5:$AC$110,5,FALSE)</f>
        <v>47510</v>
      </c>
      <c r="H77" s="25">
        <f>VLOOKUP(C77,'[1]Participaciones  Tabla I'!$B$5:$AC$110,6,FALSE)</f>
        <v>4350</v>
      </c>
      <c r="I77" s="25">
        <f t="shared" si="24"/>
        <v>51860</v>
      </c>
      <c r="J77" s="26">
        <f t="shared" si="25"/>
        <v>3.9376425947013001E-4</v>
      </c>
      <c r="K77" s="26">
        <f t="shared" si="26"/>
        <v>1.2994220562514291E-4</v>
      </c>
      <c r="L77" s="27">
        <f>VLOOKUP(C77,'[1]Participaciones  Tabla I'!$B$5:$AC$110,10,FALSE)</f>
        <v>49600</v>
      </c>
      <c r="M77" s="27">
        <f>VLOOKUP(C77,'[1]Participaciones  Tabla I'!$B$5:$AC$110,11,FALSE)</f>
        <v>0</v>
      </c>
      <c r="N77" s="25">
        <f t="shared" si="27"/>
        <v>49600</v>
      </c>
      <c r="O77" s="28">
        <f t="shared" si="28"/>
        <v>3.8464717739279642E-4</v>
      </c>
      <c r="P77" s="29">
        <f t="shared" si="29"/>
        <v>1.2693356853962282E-4</v>
      </c>
      <c r="Q77" s="27">
        <f>VLOOKUP(C77,'[1]Participaciones  Tabla I'!$B$5:$AC$110,15,FALSE)</f>
        <v>48324</v>
      </c>
      <c r="R77" s="27">
        <f>VLOOKUP(C77,'[1]Participaciones  Tabla I'!$B$5:$AC$110,16,FALSE)</f>
        <v>240</v>
      </c>
      <c r="S77" s="25">
        <f t="shared" si="30"/>
        <v>48564</v>
      </c>
      <c r="T77" s="30">
        <f t="shared" si="31"/>
        <v>3.0146558290182756E-4</v>
      </c>
      <c r="U77" s="30">
        <f t="shared" si="32"/>
        <v>1.0249829818662137E-4</v>
      </c>
      <c r="V77" s="30">
        <f t="shared" si="33"/>
        <v>3.5937407235138712E-4</v>
      </c>
      <c r="W77" s="31">
        <f t="shared" si="34"/>
        <v>1.6171833255812421E-5</v>
      </c>
      <c r="X77" s="30">
        <f t="shared" si="38"/>
        <v>6.0293116580365509E-6</v>
      </c>
      <c r="Y77" s="31">
        <f>VLOOKUP(B77,'[1]Participaciones  Tabla I'!$A$5:$X$110,24,FALSE)</f>
        <v>51.540020862115803</v>
      </c>
      <c r="Z77" s="22">
        <f t="shared" si="39"/>
        <v>6471.9515937613551</v>
      </c>
      <c r="AA77" s="33">
        <f t="shared" si="35"/>
        <v>4.2277441157869715E-3</v>
      </c>
      <c r="AB77" s="33">
        <f t="shared" si="40"/>
        <v>1.0569360289467429E-4</v>
      </c>
      <c r="AC77" s="33">
        <f t="shared" si="41"/>
        <v>3.3750000000000004E-3</v>
      </c>
      <c r="AD77" s="34">
        <f t="shared" si="42"/>
        <v>5.5493642286137592E-3</v>
      </c>
      <c r="AE77" s="59">
        <f>VLOOKUP(B77,[2]coeficientes!$A:$E,5,0)-AD77</f>
        <v>0</v>
      </c>
      <c r="AF77" s="62"/>
      <c r="AG77" s="62"/>
      <c r="AH77" s="2" t="s">
        <v>149</v>
      </c>
      <c r="AI77" s="2" t="s">
        <v>150</v>
      </c>
      <c r="AJ77" s="2">
        <f t="shared" si="36"/>
        <v>51.540020862115803</v>
      </c>
      <c r="AK77" s="2" t="s">
        <v>151</v>
      </c>
      <c r="AL77" s="2" t="s">
        <v>152</v>
      </c>
      <c r="AM77" s="60">
        <f t="shared" si="37"/>
        <v>3684</v>
      </c>
      <c r="AN77" s="61" t="s">
        <v>153</v>
      </c>
      <c r="AO77" s="2" t="str">
        <f t="shared" si="43"/>
        <v>@((((51.5400208621158+2.44852)*3684/65540751.1074742)))</v>
      </c>
    </row>
    <row r="78" spans="1:41" s="2" customFormat="1" ht="13.5" x14ac:dyDescent="0.2">
      <c r="A78" s="2" t="s">
        <v>226</v>
      </c>
      <c r="B78" s="20">
        <v>98</v>
      </c>
      <c r="C78" s="21" t="s">
        <v>129</v>
      </c>
      <c r="D78" s="22">
        <f>VLOOKUP(B78,'[1]Participaciones  Tabla I'!A$5:C$110,3)</f>
        <v>15346</v>
      </c>
      <c r="E78" s="24">
        <f t="shared" si="22"/>
        <v>1.3319897127967705E-2</v>
      </c>
      <c r="F78" s="24">
        <f t="shared" si="23"/>
        <v>8.5247341618993316E-3</v>
      </c>
      <c r="G78" s="25">
        <f>VLOOKUP(C78,'[1]Participaciones  Tabla I'!$B$5:$AC$110,5,FALSE)</f>
        <v>40558</v>
      </c>
      <c r="H78" s="25">
        <f>VLOOKUP(C78,'[1]Participaciones  Tabla I'!$B$5:$AC$110,6,FALSE)</f>
        <v>36491</v>
      </c>
      <c r="I78" s="25">
        <f t="shared" si="24"/>
        <v>77049</v>
      </c>
      <c r="J78" s="26">
        <f t="shared" si="25"/>
        <v>5.850201008082153E-4</v>
      </c>
      <c r="K78" s="26">
        <f t="shared" si="26"/>
        <v>1.9305663326671106E-4</v>
      </c>
      <c r="L78" s="27">
        <f>VLOOKUP(C78,'[1]Participaciones  Tabla I'!$B$5:$AC$110,10,FALSE)</f>
        <v>25202.3</v>
      </c>
      <c r="M78" s="27">
        <f>VLOOKUP(C78,'[1]Participaciones  Tabla I'!$B$5:$AC$110,11,FALSE)</f>
        <v>35748</v>
      </c>
      <c r="N78" s="25">
        <f t="shared" si="27"/>
        <v>60950.3</v>
      </c>
      <c r="O78" s="28">
        <f t="shared" si="28"/>
        <v>4.7266856565008388E-4</v>
      </c>
      <c r="P78" s="29">
        <f t="shared" si="29"/>
        <v>1.5598062666452768E-4</v>
      </c>
      <c r="Q78" s="27">
        <f>VLOOKUP(C78,'[1]Participaciones  Tabla I'!$B$5:$AC$110,15,FALSE)</f>
        <v>23670.5</v>
      </c>
      <c r="R78" s="27">
        <f>VLOOKUP(C78,'[1]Participaciones  Tabla I'!$B$5:$AC$110,16,FALSE)</f>
        <v>26566.5</v>
      </c>
      <c r="S78" s="25">
        <f t="shared" si="30"/>
        <v>50237</v>
      </c>
      <c r="T78" s="30">
        <f t="shared" si="31"/>
        <v>3.1185088724650176E-4</v>
      </c>
      <c r="U78" s="30">
        <f t="shared" si="32"/>
        <v>1.060293016638106E-4</v>
      </c>
      <c r="V78" s="30">
        <f t="shared" si="33"/>
        <v>4.5506656159504928E-4</v>
      </c>
      <c r="W78" s="31">
        <f t="shared" si="34"/>
        <v>2.0477995271777219E-5</v>
      </c>
      <c r="X78" s="30">
        <f t="shared" si="38"/>
        <v>6.2370177449300351E-6</v>
      </c>
      <c r="Y78" s="31">
        <f>VLOOKUP(B78,'[1]Participaciones  Tabla I'!$A$5:$X$110,24,FALSE)</f>
        <v>53.404542909139003</v>
      </c>
      <c r="Z78" s="22">
        <f t="shared" si="39"/>
        <v>22793.391585580961</v>
      </c>
      <c r="AA78" s="33">
        <f t="shared" si="35"/>
        <v>1.4889577858965906E-2</v>
      </c>
      <c r="AB78" s="33">
        <f t="shared" si="40"/>
        <v>3.722394464741477E-4</v>
      </c>
      <c r="AC78" s="33">
        <f t="shared" si="41"/>
        <v>3.3750000000000004E-3</v>
      </c>
      <c r="AD78" s="34">
        <f t="shared" si="42"/>
        <v>1.2298688621390188E-2</v>
      </c>
      <c r="AE78" s="59">
        <f>VLOOKUP(B78,[2]coeficientes!$A:$E,5,0)-AD78</f>
        <v>0</v>
      </c>
      <c r="AF78" s="62"/>
      <c r="AG78" s="62"/>
      <c r="AH78" s="2" t="s">
        <v>149</v>
      </c>
      <c r="AI78" s="2" t="s">
        <v>150</v>
      </c>
      <c r="AJ78" s="2">
        <f t="shared" si="36"/>
        <v>53.404542909139003</v>
      </c>
      <c r="AK78" s="2" t="s">
        <v>151</v>
      </c>
      <c r="AL78" s="2" t="s">
        <v>152</v>
      </c>
      <c r="AM78" s="60">
        <f t="shared" si="37"/>
        <v>15346</v>
      </c>
      <c r="AN78" s="61" t="s">
        <v>153</v>
      </c>
      <c r="AO78" s="2" t="str">
        <f t="shared" si="43"/>
        <v>@((((53.404542909139+2.44852)*15346/65540751.1074742)))</v>
      </c>
    </row>
    <row r="79" spans="1:41" s="2" customFormat="1" ht="13.5" x14ac:dyDescent="0.2">
      <c r="A79" s="2" t="s">
        <v>227</v>
      </c>
      <c r="B79" s="20">
        <v>99</v>
      </c>
      <c r="C79" s="21" t="s">
        <v>130</v>
      </c>
      <c r="D79" s="22">
        <f>VLOOKUP(B79,'[1]Participaciones  Tabla I'!A$5:C$110,3)</f>
        <v>4191</v>
      </c>
      <c r="E79" s="24">
        <f t="shared" si="22"/>
        <v>3.6376703286402092E-3</v>
      </c>
      <c r="F79" s="24">
        <f t="shared" si="23"/>
        <v>2.3281090103297341E-3</v>
      </c>
      <c r="G79" s="25">
        <f>VLOOKUP(C79,'[1]Participaciones  Tabla I'!$B$5:$AC$110,5,FALSE)</f>
        <v>7110</v>
      </c>
      <c r="H79" s="25">
        <f>VLOOKUP(C79,'[1]Participaciones  Tabla I'!$B$5:$AC$110,6,FALSE)</f>
        <v>0</v>
      </c>
      <c r="I79" s="25">
        <f t="shared" si="24"/>
        <v>7110</v>
      </c>
      <c r="J79" s="26">
        <f t="shared" si="25"/>
        <v>5.3985034416363753E-5</v>
      </c>
      <c r="K79" s="26">
        <f t="shared" si="26"/>
        <v>1.7815061357400038E-5</v>
      </c>
      <c r="L79" s="27">
        <f>VLOOKUP(C79,'[1]Participaciones  Tabla I'!$B$5:$AC$110,10,FALSE)</f>
        <v>0</v>
      </c>
      <c r="M79" s="27">
        <f>VLOOKUP(C79,'[1]Participaciones  Tabla I'!$B$5:$AC$110,11,FALSE)</f>
        <v>0</v>
      </c>
      <c r="N79" s="25">
        <f t="shared" si="27"/>
        <v>0</v>
      </c>
      <c r="O79" s="28">
        <f t="shared" si="28"/>
        <v>0</v>
      </c>
      <c r="P79" s="29">
        <f t="shared" si="29"/>
        <v>0</v>
      </c>
      <c r="Q79" s="27">
        <f>VLOOKUP(C79,'[1]Participaciones  Tabla I'!$B$5:$AC$110,15,FALSE)</f>
        <v>2951.06</v>
      </c>
      <c r="R79" s="27">
        <f>VLOOKUP(C79,'[1]Participaciones  Tabla I'!$B$5:$AC$110,16,FALSE)</f>
        <v>0</v>
      </c>
      <c r="S79" s="25">
        <f t="shared" si="30"/>
        <v>2951.06</v>
      </c>
      <c r="T79" s="30">
        <f t="shared" si="31"/>
        <v>1.8318981613505215E-5</v>
      </c>
      <c r="U79" s="30">
        <f t="shared" si="32"/>
        <v>6.2284537485917737E-6</v>
      </c>
      <c r="V79" s="30">
        <f t="shared" si="33"/>
        <v>2.404351510599181E-5</v>
      </c>
      <c r="W79" s="31">
        <f t="shared" si="34"/>
        <v>1.0819581797696315E-6</v>
      </c>
      <c r="X79" s="30">
        <f t="shared" si="38"/>
        <v>3.6637963227010432E-7</v>
      </c>
      <c r="Y79" s="31">
        <f>VLOOKUP(B79,'[1]Participaciones  Tabla I'!$A$5:$X$110,24,FALSE)</f>
        <v>49.6852777840841</v>
      </c>
      <c r="Z79" s="22">
        <f t="shared" si="39"/>
        <v>8494.4175174851516</v>
      </c>
      <c r="AA79" s="33">
        <f t="shared" si="35"/>
        <v>5.5489017734933702E-3</v>
      </c>
      <c r="AB79" s="33">
        <f t="shared" si="40"/>
        <v>1.3872254433733427E-4</v>
      </c>
      <c r="AC79" s="33">
        <f t="shared" si="41"/>
        <v>3.3750000000000004E-3</v>
      </c>
      <c r="AD79" s="34">
        <f t="shared" si="42"/>
        <v>5.8432798924791078E-3</v>
      </c>
      <c r="AE79" s="59">
        <f>VLOOKUP(B79,[2]coeficientes!$A:$E,5,0)-AD79</f>
        <v>0</v>
      </c>
      <c r="AF79" s="62"/>
      <c r="AG79" s="62"/>
      <c r="AH79" s="2" t="s">
        <v>149</v>
      </c>
      <c r="AI79" s="2" t="s">
        <v>150</v>
      </c>
      <c r="AJ79" s="2">
        <f t="shared" si="36"/>
        <v>49.6852777840841</v>
      </c>
      <c r="AK79" s="2" t="s">
        <v>151</v>
      </c>
      <c r="AL79" s="2" t="s">
        <v>152</v>
      </c>
      <c r="AM79" s="60">
        <f t="shared" si="37"/>
        <v>4191</v>
      </c>
      <c r="AN79" s="61" t="s">
        <v>153</v>
      </c>
      <c r="AO79" s="2" t="str">
        <f t="shared" si="43"/>
        <v>@((((49.6852777840841+2.44852)*4191/65540751.1074742)))</v>
      </c>
    </row>
    <row r="80" spans="1:41" s="2" customFormat="1" ht="13.5" x14ac:dyDescent="0.2">
      <c r="A80" s="2" t="s">
        <v>228</v>
      </c>
      <c r="B80" s="20">
        <v>101</v>
      </c>
      <c r="C80" s="21" t="s">
        <v>132</v>
      </c>
      <c r="D80" s="22">
        <f>VLOOKUP(B80,'[1]Participaciones  Tabla I'!A$5:C$110,3)</f>
        <v>69147</v>
      </c>
      <c r="E80" s="24">
        <f t="shared" si="22"/>
        <v>6.001765454891065E-2</v>
      </c>
      <c r="F80" s="24">
        <f t="shared" si="23"/>
        <v>3.8411298911302814E-2</v>
      </c>
      <c r="G80" s="25">
        <f>VLOOKUP(C80,'[1]Participaciones  Tabla I'!$B$5:$AC$110,5,FALSE)</f>
        <v>8767072.2100000009</v>
      </c>
      <c r="H80" s="25">
        <f>VLOOKUP(C80,'[1]Participaciones  Tabla I'!$B$5:$AC$110,6,FALSE)</f>
        <v>9310325.2899999991</v>
      </c>
      <c r="I80" s="25">
        <f t="shared" si="24"/>
        <v>18077397.5</v>
      </c>
      <c r="J80" s="26">
        <f t="shared" si="25"/>
        <v>0.13725863940869032</v>
      </c>
      <c r="K80" s="63">
        <f t="shared" si="26"/>
        <v>4.5295351004867805E-2</v>
      </c>
      <c r="L80" s="27">
        <f>VLOOKUP(C80,'[1]Participaciones  Tabla I'!$B$5:$AC$110,10,FALSE)</f>
        <v>11222257.609999999</v>
      </c>
      <c r="M80" s="27">
        <f>VLOOKUP(C80,'[1]Participaciones  Tabla I'!$B$5:$AC$110,11,FALSE)</f>
        <v>7642452.0999999996</v>
      </c>
      <c r="N80" s="25">
        <f t="shared" si="27"/>
        <v>18864709.710000001</v>
      </c>
      <c r="O80" s="28">
        <f t="shared" si="28"/>
        <v>0.14629551093318507</v>
      </c>
      <c r="P80" s="29">
        <f t="shared" si="29"/>
        <v>4.8277518607951077E-2</v>
      </c>
      <c r="Q80" s="27">
        <f>VLOOKUP(C80,'[1]Participaciones  Tabla I'!$B$5:$AC$110,15,FALSE)</f>
        <v>11924264.9</v>
      </c>
      <c r="R80" s="27">
        <f>VLOOKUP(C80,'[1]Participaciones  Tabla I'!$B$5:$AC$110,16,FALSE)</f>
        <v>8305060.3899999997</v>
      </c>
      <c r="S80" s="25">
        <f t="shared" si="30"/>
        <v>20229325.289999999</v>
      </c>
      <c r="T80" s="30">
        <f t="shared" si="31"/>
        <v>0.12557543324809595</v>
      </c>
      <c r="U80" s="30">
        <f t="shared" si="32"/>
        <v>4.2695647304352623E-2</v>
      </c>
      <c r="V80" s="30">
        <f t="shared" si="33"/>
        <v>0.13626851691717151</v>
      </c>
      <c r="W80" s="31">
        <f t="shared" si="34"/>
        <v>6.1320832612727178E-3</v>
      </c>
      <c r="X80" s="30">
        <f t="shared" si="38"/>
        <v>2.5115086649619188E-3</v>
      </c>
      <c r="Y80" s="31">
        <f>VLOOKUP(B80,'[1]Participaciones  Tabla I'!$A$5:$X$110,24,FALSE)</f>
        <v>57.140115403614402</v>
      </c>
      <c r="Z80" s="22">
        <f t="shared" si="39"/>
        <v>65094.930291121491</v>
      </c>
      <c r="AA80" s="33">
        <f t="shared" si="35"/>
        <v>4.2522677204683647E-2</v>
      </c>
      <c r="AB80" s="33">
        <f t="shared" si="40"/>
        <v>1.0630669301170913E-3</v>
      </c>
      <c r="AC80" s="33">
        <f t="shared" si="41"/>
        <v>3.3750000000000004E-3</v>
      </c>
      <c r="AD80" s="34">
        <f t="shared" si="42"/>
        <v>5.1492957767654543E-2</v>
      </c>
      <c r="AE80" s="59">
        <f>VLOOKUP(B80,[2]coeficientes!$A:$E,5,0)-AD80</f>
        <v>0</v>
      </c>
      <c r="AF80" s="62"/>
      <c r="AG80" s="62"/>
      <c r="AH80" s="2" t="s">
        <v>149</v>
      </c>
      <c r="AI80" s="2" t="s">
        <v>150</v>
      </c>
      <c r="AJ80" s="2">
        <f t="shared" si="36"/>
        <v>57.140115403614402</v>
      </c>
      <c r="AK80" s="2" t="s">
        <v>151</v>
      </c>
      <c r="AL80" s="2" t="s">
        <v>152</v>
      </c>
      <c r="AM80" s="60">
        <f t="shared" si="37"/>
        <v>69147</v>
      </c>
      <c r="AN80" s="61" t="s">
        <v>153</v>
      </c>
      <c r="AO80" s="2" t="str">
        <f t="shared" si="43"/>
        <v>@((((57.1401154036144+2.44852)*69147/65540751.1074742)))</v>
      </c>
    </row>
    <row r="81" spans="1:41" s="2" customFormat="1" ht="13.5" x14ac:dyDescent="0.2">
      <c r="A81" s="2" t="s">
        <v>229</v>
      </c>
      <c r="B81" s="20">
        <v>102</v>
      </c>
      <c r="C81" s="21" t="s">
        <v>133</v>
      </c>
      <c r="D81" s="22">
        <f>VLOOKUP(B81,'[1]Participaciones  Tabla I'!A$5:C$110,3)</f>
        <v>85460</v>
      </c>
      <c r="E81" s="24">
        <f t="shared" si="22"/>
        <v>7.4176880526268738E-2</v>
      </c>
      <c r="F81" s="24">
        <f t="shared" si="23"/>
        <v>4.7473203536811996E-2</v>
      </c>
      <c r="G81" s="25">
        <f>VLOOKUP(C81,'[1]Participaciones  Tabla I'!$B$5:$AC$110,5,FALSE)</f>
        <v>3833121.11</v>
      </c>
      <c r="H81" s="25">
        <f>VLOOKUP(C81,'[1]Participaciones  Tabla I'!$B$5:$AC$110,6,FALSE)</f>
        <v>16571474.83</v>
      </c>
      <c r="I81" s="25">
        <f t="shared" si="24"/>
        <v>20404595.940000001</v>
      </c>
      <c r="J81" s="26">
        <f t="shared" si="25"/>
        <v>0.15492866583303744</v>
      </c>
      <c r="K81" s="63">
        <f t="shared" si="26"/>
        <v>5.1126459724902359E-2</v>
      </c>
      <c r="L81" s="27">
        <f>VLOOKUP(C81,'[1]Participaciones  Tabla I'!$B$5:$AC$110,10,FALSE)</f>
        <v>3556475.68</v>
      </c>
      <c r="M81" s="27">
        <f>VLOOKUP(C81,'[1]Participaciones  Tabla I'!$B$5:$AC$110,11,FALSE)</f>
        <v>14387359.310000001</v>
      </c>
      <c r="N81" s="25">
        <f t="shared" si="27"/>
        <v>17943834.990000002</v>
      </c>
      <c r="O81" s="28">
        <f t="shared" si="28"/>
        <v>0.13915414275212898</v>
      </c>
      <c r="P81" s="29">
        <f t="shared" si="29"/>
        <v>4.5920867108202562E-2</v>
      </c>
      <c r="Q81" s="27">
        <f>VLOOKUP(C81,'[1]Participaciones  Tabla I'!$B$5:$AC$110,15,FALSE)</f>
        <v>4961059.62</v>
      </c>
      <c r="R81" s="27">
        <f>VLOOKUP(C81,'[1]Participaciones  Tabla I'!$B$5:$AC$110,16,FALSE)</f>
        <v>18613548.280000001</v>
      </c>
      <c r="S81" s="25">
        <f t="shared" si="30"/>
        <v>23574607.900000002</v>
      </c>
      <c r="T81" s="30">
        <f t="shared" si="31"/>
        <v>0.14634158867176364</v>
      </c>
      <c r="U81" s="30">
        <f t="shared" si="32"/>
        <v>4.9756140148399644E-2</v>
      </c>
      <c r="V81" s="30">
        <f t="shared" si="33"/>
        <v>0.14680346698150457</v>
      </c>
      <c r="W81" s="31">
        <f t="shared" si="34"/>
        <v>6.6061560141677054E-3</v>
      </c>
      <c r="X81" s="30">
        <f t="shared" si="38"/>
        <v>2.9268317734352728E-3</v>
      </c>
      <c r="Y81" s="31">
        <f>VLOOKUP(B81,'[1]Participaciones  Tabla I'!$A$5:$X$110,24,FALSE)</f>
        <v>54.517075111596697</v>
      </c>
      <c r="Z81" s="22">
        <f t="shared" si="39"/>
        <v>113090.40279620489</v>
      </c>
      <c r="AA81" s="33">
        <f t="shared" si="35"/>
        <v>7.3875287546111348E-2</v>
      </c>
      <c r="AB81" s="33">
        <f t="shared" si="40"/>
        <v>1.8468821886527837E-3</v>
      </c>
      <c r="AC81" s="33">
        <f t="shared" si="41"/>
        <v>3.3750000000000004E-3</v>
      </c>
      <c r="AD81" s="34">
        <f t="shared" si="42"/>
        <v>6.2228073513067757E-2</v>
      </c>
      <c r="AE81" s="59">
        <f>VLOOKUP(B81,[2]coeficientes!$A:$E,5,0)-AD81</f>
        <v>0</v>
      </c>
      <c r="AF81" s="62"/>
      <c r="AG81" s="62"/>
      <c r="AH81" s="2" t="s">
        <v>149</v>
      </c>
      <c r="AI81" s="2" t="s">
        <v>150</v>
      </c>
      <c r="AJ81" s="2">
        <f t="shared" si="36"/>
        <v>54.517075111596697</v>
      </c>
      <c r="AK81" s="2" t="s">
        <v>151</v>
      </c>
      <c r="AL81" s="2" t="s">
        <v>152</v>
      </c>
      <c r="AM81" s="60">
        <f t="shared" si="37"/>
        <v>85460</v>
      </c>
      <c r="AN81" s="61" t="s">
        <v>153</v>
      </c>
      <c r="AO81" s="2" t="str">
        <f t="shared" si="43"/>
        <v>@((((54.5170751115967+2.44852)*85460/65540751.1074742)))</v>
      </c>
    </row>
    <row r="82" spans="1:41" s="2" customFormat="1" ht="13.5" x14ac:dyDescent="0.2">
      <c r="A82" s="2" t="s">
        <v>230</v>
      </c>
      <c r="B82" s="20">
        <v>103</v>
      </c>
      <c r="C82" s="39" t="s">
        <v>134</v>
      </c>
      <c r="D82" s="22">
        <f>VLOOKUP(B82,'[1]Participaciones  Tabla I'!A$5:C$110,3)</f>
        <v>3451</v>
      </c>
      <c r="E82" s="24">
        <f t="shared" si="22"/>
        <v>2.9953711057354717E-3</v>
      </c>
      <c r="F82" s="24">
        <f t="shared" si="23"/>
        <v>1.917037507670702E-3</v>
      </c>
      <c r="G82" s="25">
        <f>VLOOKUP(C82,'[1]Participaciones  Tabla I'!$B$5:$AC$110,5,FALSE)</f>
        <v>7060</v>
      </c>
      <c r="H82" s="25">
        <f>VLOOKUP(C82,'[1]Participaciones  Tabla I'!$B$5:$AC$110,6,FALSE)</f>
        <v>4830</v>
      </c>
      <c r="I82" s="25">
        <f t="shared" si="24"/>
        <v>11890</v>
      </c>
      <c r="J82" s="26">
        <f t="shared" si="25"/>
        <v>9.0278770634397338E-5</v>
      </c>
      <c r="K82" s="63">
        <f t="shared" si="26"/>
        <v>2.9791994309351122E-5</v>
      </c>
      <c r="L82" s="27">
        <f>VLOOKUP(C82,'[1]Participaciones  Tabla I'!$B$5:$AC$110,10,FALSE)</f>
        <v>11224.94</v>
      </c>
      <c r="M82" s="27">
        <f>VLOOKUP(C82,'[1]Participaciones  Tabla I'!$B$5:$AC$110,11,FALSE)</f>
        <v>8258</v>
      </c>
      <c r="N82" s="25">
        <f t="shared" si="27"/>
        <v>19482.940000000002</v>
      </c>
      <c r="O82" s="28">
        <f t="shared" si="28"/>
        <v>1.5108987657889536E-4</v>
      </c>
      <c r="P82" s="29">
        <f t="shared" si="29"/>
        <v>4.9859659271035467E-5</v>
      </c>
      <c r="Q82" s="27">
        <f>VLOOKUP(C82,'[1]Participaciones  Tabla I'!$B$5:$AC$110,15,FALSE)</f>
        <v>31221.24</v>
      </c>
      <c r="R82" s="27">
        <f>VLOOKUP(C82,'[1]Participaciones  Tabla I'!$B$5:$AC$110,16,FALSE)</f>
        <v>8145</v>
      </c>
      <c r="S82" s="25">
        <f t="shared" si="30"/>
        <v>39366.240000000005</v>
      </c>
      <c r="T82" s="30">
        <f t="shared" si="31"/>
        <v>2.443696254067466E-4</v>
      </c>
      <c r="U82" s="30">
        <f t="shared" si="32"/>
        <v>8.3085672638293854E-5</v>
      </c>
      <c r="V82" s="30">
        <f t="shared" si="33"/>
        <v>1.6273732621868044E-4</v>
      </c>
      <c r="W82" s="31">
        <f t="shared" si="34"/>
        <v>7.3231796798406193E-6</v>
      </c>
      <c r="X82" s="30">
        <f t="shared" si="38"/>
        <v>4.8873925081349318E-6</v>
      </c>
      <c r="Y82" s="31">
        <f>VLOOKUP(B82,'[1]Participaciones  Tabla I'!$A$5:$X$110,24,FALSE)</f>
        <v>51.462046075133301</v>
      </c>
      <c r="Z82" s="22">
        <f t="shared" si="39"/>
        <v>6101.8031416304957</v>
      </c>
      <c r="AA82" s="33">
        <f t="shared" si="35"/>
        <v>3.9859479716420777E-3</v>
      </c>
      <c r="AB82" s="33">
        <f t="shared" si="40"/>
        <v>9.964869929105195E-5</v>
      </c>
      <c r="AC82" s="33">
        <f t="shared" si="41"/>
        <v>3.3750000000000004E-3</v>
      </c>
      <c r="AD82" s="34">
        <f t="shared" si="42"/>
        <v>5.40389677914973E-3</v>
      </c>
      <c r="AE82" s="59">
        <f>VLOOKUP(B82,[2]coeficientes!$A:$E,5,0)-AD82</f>
        <v>0</v>
      </c>
      <c r="AF82" s="62"/>
      <c r="AG82" s="62"/>
      <c r="AH82" s="2" t="s">
        <v>149</v>
      </c>
      <c r="AI82" s="2" t="s">
        <v>150</v>
      </c>
      <c r="AJ82" s="2">
        <f t="shared" si="36"/>
        <v>51.462046075133301</v>
      </c>
      <c r="AK82" s="2" t="s">
        <v>151</v>
      </c>
      <c r="AL82" s="2" t="s">
        <v>152</v>
      </c>
      <c r="AM82" s="60">
        <f t="shared" si="37"/>
        <v>3451</v>
      </c>
      <c r="AN82" s="61" t="s">
        <v>153</v>
      </c>
      <c r="AO82" s="2" t="str">
        <f t="shared" si="43"/>
        <v>@((((51.4620460751333+2.44852)*3451/65540751.1074742)))</v>
      </c>
    </row>
    <row r="83" spans="1:41" s="2" customFormat="1" ht="13.5" x14ac:dyDescent="0.2">
      <c r="A83" s="2" t="s">
        <v>231</v>
      </c>
      <c r="B83" s="20">
        <v>104</v>
      </c>
      <c r="C83" s="21" t="s">
        <v>135</v>
      </c>
      <c r="D83" s="22">
        <f>VLOOKUP(B83,'[1]Participaciones  Tabla I'!A$5:C$110,3)</f>
        <v>16350</v>
      </c>
      <c r="E83" s="24">
        <f t="shared" si="22"/>
        <v>1.4191340938503322E-2</v>
      </c>
      <c r="F83" s="24">
        <f t="shared" si="23"/>
        <v>9.082458200642126E-3</v>
      </c>
      <c r="G83" s="25">
        <f>VLOOKUP(C83,'[1]Participaciones  Tabla I'!$B$5:$AC$110,5,FALSE)</f>
        <v>0</v>
      </c>
      <c r="H83" s="25">
        <f>VLOOKUP(C83,'[1]Participaciones  Tabla I'!$B$5:$AC$110,6,FALSE)</f>
        <v>0</v>
      </c>
      <c r="I83" s="25">
        <f t="shared" si="24"/>
        <v>0</v>
      </c>
      <c r="J83" s="26">
        <f t="shared" si="25"/>
        <v>0</v>
      </c>
      <c r="K83" s="63">
        <f t="shared" si="26"/>
        <v>0</v>
      </c>
      <c r="L83" s="27">
        <f>VLOOKUP(C83,'[1]Participaciones  Tabla I'!$B$5:$AC$110,10,FALSE)</f>
        <v>0</v>
      </c>
      <c r="M83" s="27">
        <f>VLOOKUP(C83,'[1]Participaciones  Tabla I'!$B$5:$AC$110,11,FALSE)</f>
        <v>50000</v>
      </c>
      <c r="N83" s="25">
        <f t="shared" si="27"/>
        <v>50000</v>
      </c>
      <c r="O83" s="28">
        <f t="shared" si="28"/>
        <v>3.8774917075886734E-4</v>
      </c>
      <c r="P83" s="29">
        <f t="shared" si="29"/>
        <v>1.2795722635042622E-4</v>
      </c>
      <c r="Q83" s="27">
        <f>VLOOKUP(C83,'[1]Participaciones  Tabla I'!$B$5:$AC$110,15,FALSE)</f>
        <v>72210</v>
      </c>
      <c r="R83" s="27">
        <f>VLOOKUP(C83,'[1]Participaciones  Tabla I'!$B$5:$AC$110,16,FALSE)</f>
        <v>13745</v>
      </c>
      <c r="S83" s="25">
        <f t="shared" si="30"/>
        <v>85955</v>
      </c>
      <c r="T83" s="30">
        <f t="shared" si="31"/>
        <v>5.3357372082873293E-4</v>
      </c>
      <c r="U83" s="30">
        <f t="shared" si="32"/>
        <v>1.8141506508176922E-4</v>
      </c>
      <c r="V83" s="30">
        <f t="shared" si="33"/>
        <v>3.0937229143219547E-4</v>
      </c>
      <c r="W83" s="31">
        <f t="shared" si="34"/>
        <v>1.3921753114448796E-5</v>
      </c>
      <c r="X83" s="30">
        <f t="shared" si="38"/>
        <v>1.0671474416574659E-5</v>
      </c>
      <c r="Y83" s="31">
        <f>VLOOKUP(B83,'[1]Participaciones  Tabla I'!$A$5:$X$110,24,FALSE)</f>
        <v>49.328247322259301</v>
      </c>
      <c r="Z83" s="22">
        <f t="shared" si="39"/>
        <v>33988.497554522372</v>
      </c>
      <c r="AA83" s="33">
        <f t="shared" si="35"/>
        <v>2.2202680050803603E-2</v>
      </c>
      <c r="AB83" s="33">
        <f t="shared" si="40"/>
        <v>5.5506700127009006E-4</v>
      </c>
      <c r="AC83" s="33">
        <f t="shared" si="41"/>
        <v>3.3750000000000004E-3</v>
      </c>
      <c r="AD83" s="34">
        <f t="shared" si="42"/>
        <v>1.3037118429443238E-2</v>
      </c>
      <c r="AE83" s="59">
        <f>VLOOKUP(B83,[2]coeficientes!$A:$E,5,0)-AD83</f>
        <v>0</v>
      </c>
      <c r="AF83" s="62"/>
      <c r="AG83" s="62"/>
      <c r="AH83" s="2" t="s">
        <v>149</v>
      </c>
      <c r="AI83" s="2" t="s">
        <v>150</v>
      </c>
      <c r="AJ83" s="2">
        <f t="shared" si="36"/>
        <v>49.328247322259301</v>
      </c>
      <c r="AK83" s="2" t="s">
        <v>151</v>
      </c>
      <c r="AL83" s="2" t="s">
        <v>152</v>
      </c>
      <c r="AM83" s="60">
        <f t="shared" si="37"/>
        <v>16350</v>
      </c>
      <c r="AN83" s="61" t="s">
        <v>153</v>
      </c>
      <c r="AO83" s="2" t="str">
        <f t="shared" si="43"/>
        <v>@((((49.3282473222593+2.44852)*16350/65540751.1074742)))</v>
      </c>
    </row>
    <row r="84" spans="1:41" s="2" customFormat="1" ht="13.5" x14ac:dyDescent="0.2">
      <c r="A84" s="2" t="s">
        <v>232</v>
      </c>
      <c r="B84" s="20">
        <v>106</v>
      </c>
      <c r="C84" s="21" t="s">
        <v>137</v>
      </c>
      <c r="D84" s="22">
        <f>VLOOKUP(B84,'[1]Participaciones  Tabla I'!A$5:C$110,3)</f>
        <v>2215</v>
      </c>
      <c r="E84" s="24">
        <f t="shared" si="22"/>
        <v>1.9225578090999913E-3</v>
      </c>
      <c r="F84" s="24">
        <f t="shared" si="23"/>
        <v>1.2304369978239946E-3</v>
      </c>
      <c r="G84" s="25">
        <f>VLOOKUP(C84,'[1]Participaciones  Tabla I'!$B$5:$AC$110,5,FALSE)</f>
        <v>561929</v>
      </c>
      <c r="H84" s="25">
        <f>VLOOKUP(C84,'[1]Participaciones  Tabla I'!$B$5:$AC$110,6,FALSE)</f>
        <v>46236</v>
      </c>
      <c r="I84" s="25">
        <f t="shared" si="24"/>
        <v>608165</v>
      </c>
      <c r="J84" s="26">
        <f t="shared" si="25"/>
        <v>4.617694578878743E-3</v>
      </c>
      <c r="K84" s="63">
        <f t="shared" si="26"/>
        <v>1.5238392110299853E-3</v>
      </c>
      <c r="L84" s="27">
        <f>VLOOKUP(C84,'[1]Participaciones  Tabla I'!$B$5:$AC$110,10,FALSE)</f>
        <v>448928.5</v>
      </c>
      <c r="M84" s="27">
        <f>VLOOKUP(C84,'[1]Participaciones  Tabla I'!$B$5:$AC$110,11,FALSE)</f>
        <v>59557</v>
      </c>
      <c r="N84" s="25">
        <f t="shared" si="27"/>
        <v>508485.5</v>
      </c>
      <c r="O84" s="28">
        <f t="shared" si="28"/>
        <v>3.9432966193581609E-3</v>
      </c>
      <c r="P84" s="29">
        <f t="shared" si="29"/>
        <v>1.3012878843881933E-3</v>
      </c>
      <c r="Q84" s="27">
        <f>VLOOKUP(C84,'[1]Participaciones  Tabla I'!$B$5:$AC$110,15,FALSE)</f>
        <v>14252.6</v>
      </c>
      <c r="R84" s="27">
        <f>VLOOKUP(C84,'[1]Participaciones  Tabla I'!$B$5:$AC$110,16,FALSE)</f>
        <v>0</v>
      </c>
      <c r="S84" s="25">
        <f t="shared" si="30"/>
        <v>14252.6</v>
      </c>
      <c r="T84" s="30">
        <f t="shared" si="31"/>
        <v>8.8474350689123378E-5</v>
      </c>
      <c r="U84" s="30">
        <f t="shared" si="32"/>
        <v>3.008127923430195E-5</v>
      </c>
      <c r="V84" s="30">
        <f t="shared" si="33"/>
        <v>2.8552083746524806E-3</v>
      </c>
      <c r="W84" s="31">
        <f t="shared" si="34"/>
        <v>1.2848437685936161E-4</v>
      </c>
      <c r="X84" s="30">
        <f t="shared" si="38"/>
        <v>1.7694870137824676E-6</v>
      </c>
      <c r="Y84" s="31">
        <f>VLOOKUP(B84,'[1]Participaciones  Tabla I'!$A$5:$X$110,24,FALSE)</f>
        <v>54.357342749490201</v>
      </c>
      <c r="Z84" s="22">
        <f t="shared" si="39"/>
        <v>2982.654533918409</v>
      </c>
      <c r="AA84" s="33">
        <f t="shared" si="35"/>
        <v>1.9483922233525686E-3</v>
      </c>
      <c r="AB84" s="33">
        <f>AA84*0.025</f>
        <v>4.8709805583814219E-5</v>
      </c>
      <c r="AC84" s="33">
        <f t="shared" si="41"/>
        <v>3.3750000000000004E-3</v>
      </c>
      <c r="AD84" s="34">
        <f t="shared" si="42"/>
        <v>4.784400667280953E-3</v>
      </c>
      <c r="AE84" s="59">
        <f>VLOOKUP(B84,[2]coeficientes!$A:$E,5,0)-AD84</f>
        <v>0</v>
      </c>
      <c r="AF84" s="62"/>
      <c r="AG84" s="62"/>
      <c r="AH84" s="2" t="s">
        <v>149</v>
      </c>
      <c r="AI84" s="2" t="s">
        <v>150</v>
      </c>
      <c r="AJ84" s="2">
        <f t="shared" si="36"/>
        <v>54.357342749490201</v>
      </c>
      <c r="AK84" s="2" t="s">
        <v>151</v>
      </c>
      <c r="AL84" s="2" t="s">
        <v>152</v>
      </c>
      <c r="AM84" s="60">
        <f t="shared" si="37"/>
        <v>2215</v>
      </c>
      <c r="AN84" s="61" t="s">
        <v>153</v>
      </c>
      <c r="AO84" s="2" t="str">
        <f t="shared" si="43"/>
        <v>@((((54.3573427494902+2.44852)*2215/65540751.1074742)))</v>
      </c>
    </row>
    <row r="85" spans="1:41" s="2" customFormat="1" ht="12.75" x14ac:dyDescent="0.2">
      <c r="C85" s="41" t="s">
        <v>138</v>
      </c>
      <c r="D85" s="42">
        <f t="shared" ref="D85:AD85" si="44">SUM(D5:D84)</f>
        <v>1152111</v>
      </c>
      <c r="E85" s="43">
        <f t="shared" si="44"/>
        <v>0.99999999999999978</v>
      </c>
      <c r="F85" s="64">
        <f t="shared" si="44"/>
        <v>0.64</v>
      </c>
      <c r="G85" s="42">
        <f t="shared" si="44"/>
        <v>53345776.939999998</v>
      </c>
      <c r="H85" s="42">
        <f t="shared" si="44"/>
        <v>78357390</v>
      </c>
      <c r="I85" s="42">
        <f t="shared" si="44"/>
        <v>131703166.93999998</v>
      </c>
      <c r="J85" s="43">
        <f t="shared" si="44"/>
        <v>1</v>
      </c>
      <c r="K85" s="44">
        <f t="shared" si="44"/>
        <v>0.33000000000000013</v>
      </c>
      <c r="L85" s="42">
        <f t="shared" si="44"/>
        <v>58431003.309999987</v>
      </c>
      <c r="M85" s="42">
        <f t="shared" si="44"/>
        <v>70518337.579999998</v>
      </c>
      <c r="N85" s="42">
        <f t="shared" si="44"/>
        <v>128949340.88999999</v>
      </c>
      <c r="O85" s="43">
        <f t="shared" si="44"/>
        <v>0.99999999999999978</v>
      </c>
      <c r="P85" s="44">
        <f t="shared" si="44"/>
        <v>0.33000000000000007</v>
      </c>
      <c r="Q85" s="46">
        <f t="shared" si="44"/>
        <v>80227959.459999993</v>
      </c>
      <c r="R85" s="46">
        <f t="shared" si="44"/>
        <v>80865056.640000015</v>
      </c>
      <c r="S85" s="46">
        <f t="shared" si="44"/>
        <v>161093016.10000002</v>
      </c>
      <c r="T85" s="43">
        <f t="shared" si="44"/>
        <v>0.99999999999999978</v>
      </c>
      <c r="U85" s="44">
        <f t="shared" si="44"/>
        <v>0.33999999999999997</v>
      </c>
      <c r="V85" s="51">
        <f t="shared" si="44"/>
        <v>1.0000000000000002</v>
      </c>
      <c r="W85" s="64">
        <f t="shared" si="44"/>
        <v>4.5000000000000005E-2</v>
      </c>
      <c r="X85" s="65">
        <f t="shared" si="44"/>
        <v>0.02</v>
      </c>
      <c r="Y85" s="42">
        <f t="shared" si="44"/>
        <v>4254.1117172428912</v>
      </c>
      <c r="Z85" s="42">
        <f t="shared" si="44"/>
        <v>1530828.5971220934</v>
      </c>
      <c r="AA85" s="43">
        <f t="shared" si="44"/>
        <v>0.99999999999999978</v>
      </c>
      <c r="AB85" s="66">
        <f t="shared" si="44"/>
        <v>2.4999999999999994E-2</v>
      </c>
      <c r="AC85" s="66">
        <f t="shared" si="44"/>
        <v>0.2699999999999998</v>
      </c>
      <c r="AD85" s="51">
        <f t="shared" si="44"/>
        <v>1</v>
      </c>
      <c r="AE85" s="59"/>
      <c r="AF85" s="67"/>
      <c r="AG85" s="67"/>
    </row>
    <row r="86" spans="1:41" x14ac:dyDescent="0.25">
      <c r="D86" s="52" t="s">
        <v>139</v>
      </c>
      <c r="E86" s="53"/>
      <c r="F86" s="53"/>
      <c r="G86" s="53"/>
      <c r="H86" s="53"/>
      <c r="I86" s="53"/>
      <c r="J86" s="53"/>
      <c r="K86" s="53"/>
      <c r="AE86" s="59"/>
    </row>
    <row r="87" spans="1:41" x14ac:dyDescent="0.25">
      <c r="D87" s="53" t="s">
        <v>140</v>
      </c>
      <c r="E87" s="53"/>
      <c r="F87" s="53"/>
      <c r="G87" s="53"/>
      <c r="H87" s="53"/>
      <c r="I87" s="53"/>
      <c r="J87" s="53"/>
      <c r="K87" s="53"/>
      <c r="AE87" s="59"/>
    </row>
    <row r="88" spans="1:41" x14ac:dyDescent="0.25">
      <c r="D88" s="53" t="s">
        <v>141</v>
      </c>
      <c r="E88" s="53"/>
      <c r="F88" s="53"/>
      <c r="G88" s="53"/>
      <c r="H88" s="53"/>
      <c r="I88" s="53"/>
      <c r="AE88" s="59"/>
    </row>
    <row r="89" spans="1:41" x14ac:dyDescent="0.25">
      <c r="D89" t="s">
        <v>142</v>
      </c>
      <c r="AE89" s="59"/>
    </row>
    <row r="90" spans="1:41" x14ac:dyDescent="0.25">
      <c r="F90" s="54">
        <f>F85</f>
        <v>0.64</v>
      </c>
      <c r="W90" s="55">
        <f>W85+F90</f>
        <v>0.68500000000000005</v>
      </c>
      <c r="X90" s="55">
        <f>X85+W90</f>
        <v>0.70500000000000007</v>
      </c>
      <c r="AB90" s="55">
        <f>X90+AB85</f>
        <v>0.73000000000000009</v>
      </c>
      <c r="AC90" s="56">
        <f>AC85+AB90</f>
        <v>0.99999999999999989</v>
      </c>
      <c r="AE90" s="59"/>
    </row>
    <row r="91" spans="1:41" x14ac:dyDescent="0.25">
      <c r="AE91" s="59"/>
    </row>
    <row r="92" spans="1:41" x14ac:dyDescent="0.25">
      <c r="AE92" s="59"/>
    </row>
    <row r="93" spans="1:41" x14ac:dyDescent="0.25">
      <c r="AE93" s="59"/>
    </row>
    <row r="94" spans="1:41" x14ac:dyDescent="0.25">
      <c r="AE94" s="59"/>
    </row>
    <row r="95" spans="1:41" x14ac:dyDescent="0.25">
      <c r="AE95" s="59"/>
    </row>
    <row r="96" spans="1:41" x14ac:dyDescent="0.25">
      <c r="AE96" s="59"/>
    </row>
    <row r="97" spans="31:31" x14ac:dyDescent="0.25">
      <c r="AE97" s="59"/>
    </row>
    <row r="98" spans="31:31" x14ac:dyDescent="0.25">
      <c r="AE98" s="59"/>
    </row>
    <row r="99" spans="31:31" x14ac:dyDescent="0.25">
      <c r="AE99" s="59"/>
    </row>
    <row r="100" spans="31:31" x14ac:dyDescent="0.25">
      <c r="AE100" s="59"/>
    </row>
    <row r="101" spans="31:31" x14ac:dyDescent="0.25">
      <c r="AE101" s="59"/>
    </row>
    <row r="102" spans="31:31" x14ac:dyDescent="0.25">
      <c r="AE102" s="59"/>
    </row>
    <row r="103" spans="31:31" x14ac:dyDescent="0.25">
      <c r="AE103" s="59"/>
    </row>
    <row r="104" spans="31:31" x14ac:dyDescent="0.25">
      <c r="AE104" s="59"/>
    </row>
    <row r="105" spans="31:31" x14ac:dyDescent="0.25">
      <c r="AE105" s="59"/>
    </row>
    <row r="106" spans="31:31" x14ac:dyDescent="0.25">
      <c r="AE106" s="59"/>
    </row>
    <row r="107" spans="31:31" x14ac:dyDescent="0.25">
      <c r="AE107" s="59"/>
    </row>
    <row r="108" spans="31:31" x14ac:dyDescent="0.25">
      <c r="AE108" s="59"/>
    </row>
    <row r="109" spans="31:31" x14ac:dyDescent="0.25">
      <c r="AE109" s="59"/>
    </row>
  </sheetData>
  <mergeCells count="8">
    <mergeCell ref="D1:AD1"/>
    <mergeCell ref="D3:F3"/>
    <mergeCell ref="G3:K3"/>
    <mergeCell ref="L3:P3"/>
    <mergeCell ref="Q3:U3"/>
    <mergeCell ref="V3:W3"/>
    <mergeCell ref="Y3:AB3"/>
    <mergeCell ref="AD3:AD4"/>
  </mergeCells>
  <pageMargins left="0.19685039370078741" right="0.19685039370078741" top="0.27559055118110237" bottom="0.31496062992125984" header="0.23622047244094491" footer="0.19685039370078741"/>
  <pageSetup paperSize="5" scale="4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5"/>
  <sheetViews>
    <sheetView tabSelected="1" topLeftCell="C1" zoomScale="110" zoomScaleNormal="110" workbookViewId="0">
      <selection activeCell="P9" sqref="P9"/>
    </sheetView>
  </sheetViews>
  <sheetFormatPr baseColWidth="10" defaultRowHeight="15" x14ac:dyDescent="0.25"/>
  <cols>
    <col min="1" max="1" width="7.140625" bestFit="1" customWidth="1"/>
    <col min="2" max="2" width="21" bestFit="1" customWidth="1"/>
    <col min="3" max="3" width="14.140625" customWidth="1"/>
    <col min="4" max="5" width="14.42578125" customWidth="1"/>
    <col min="8" max="8" width="12.85546875" bestFit="1" customWidth="1"/>
    <col min="9" max="9" width="12.85546875" customWidth="1"/>
    <col min="10" max="10" width="18.42578125" style="69" customWidth="1"/>
    <col min="11" max="11" width="17.42578125" style="69" hidden="1" customWidth="1"/>
    <col min="12" max="12" width="23.5703125" style="69" hidden="1" customWidth="1"/>
    <col min="13" max="13" width="0" hidden="1" customWidth="1"/>
    <col min="14" max="14" width="18.5703125" customWidth="1"/>
    <col min="256" max="256" width="7.140625" bestFit="1" customWidth="1"/>
    <col min="257" max="257" width="21" bestFit="1" customWidth="1"/>
    <col min="258" max="258" width="14.140625" customWidth="1"/>
    <col min="259" max="260" width="14.42578125" customWidth="1"/>
    <col min="263" max="263" width="11.85546875" bestFit="1" customWidth="1"/>
    <col min="264" max="264" width="12.85546875" bestFit="1" customWidth="1"/>
    <col min="265" max="266" width="12.85546875" customWidth="1"/>
    <col min="512" max="512" width="7.140625" bestFit="1" customWidth="1"/>
    <col min="513" max="513" width="21" bestFit="1" customWidth="1"/>
    <col min="514" max="514" width="14.140625" customWidth="1"/>
    <col min="515" max="516" width="14.42578125" customWidth="1"/>
    <col min="519" max="519" width="11.85546875" bestFit="1" customWidth="1"/>
    <col min="520" max="520" width="12.85546875" bestFit="1" customWidth="1"/>
    <col min="521" max="522" width="12.85546875" customWidth="1"/>
    <col min="768" max="768" width="7.140625" bestFit="1" customWidth="1"/>
    <col min="769" max="769" width="21" bestFit="1" customWidth="1"/>
    <col min="770" max="770" width="14.140625" customWidth="1"/>
    <col min="771" max="772" width="14.42578125" customWidth="1"/>
    <col min="775" max="775" width="11.85546875" bestFit="1" customWidth="1"/>
    <col min="776" max="776" width="12.85546875" bestFit="1" customWidth="1"/>
    <col min="777" max="778" width="12.85546875" customWidth="1"/>
    <col min="1024" max="1024" width="7.140625" bestFit="1" customWidth="1"/>
    <col min="1025" max="1025" width="21" bestFit="1" customWidth="1"/>
    <col min="1026" max="1026" width="14.140625" customWidth="1"/>
    <col min="1027" max="1028" width="14.42578125" customWidth="1"/>
    <col min="1031" max="1031" width="11.85546875" bestFit="1" customWidth="1"/>
    <col min="1032" max="1032" width="12.85546875" bestFit="1" customWidth="1"/>
    <col min="1033" max="1034" width="12.85546875" customWidth="1"/>
    <col min="1280" max="1280" width="7.140625" bestFit="1" customWidth="1"/>
    <col min="1281" max="1281" width="21" bestFit="1" customWidth="1"/>
    <col min="1282" max="1282" width="14.140625" customWidth="1"/>
    <col min="1283" max="1284" width="14.42578125" customWidth="1"/>
    <col min="1287" max="1287" width="11.85546875" bestFit="1" customWidth="1"/>
    <col min="1288" max="1288" width="12.85546875" bestFit="1" customWidth="1"/>
    <col min="1289" max="1290" width="12.85546875" customWidth="1"/>
    <col min="1536" max="1536" width="7.140625" bestFit="1" customWidth="1"/>
    <col min="1537" max="1537" width="21" bestFit="1" customWidth="1"/>
    <col min="1538" max="1538" width="14.140625" customWidth="1"/>
    <col min="1539" max="1540" width="14.42578125" customWidth="1"/>
    <col min="1543" max="1543" width="11.85546875" bestFit="1" customWidth="1"/>
    <col min="1544" max="1544" width="12.85546875" bestFit="1" customWidth="1"/>
    <col min="1545" max="1546" width="12.85546875" customWidth="1"/>
    <col min="1792" max="1792" width="7.140625" bestFit="1" customWidth="1"/>
    <col min="1793" max="1793" width="21" bestFit="1" customWidth="1"/>
    <col min="1794" max="1794" width="14.140625" customWidth="1"/>
    <col min="1795" max="1796" width="14.42578125" customWidth="1"/>
    <col min="1799" max="1799" width="11.85546875" bestFit="1" customWidth="1"/>
    <col min="1800" max="1800" width="12.85546875" bestFit="1" customWidth="1"/>
    <col min="1801" max="1802" width="12.85546875" customWidth="1"/>
    <col min="2048" max="2048" width="7.140625" bestFit="1" customWidth="1"/>
    <col min="2049" max="2049" width="21" bestFit="1" customWidth="1"/>
    <col min="2050" max="2050" width="14.140625" customWidth="1"/>
    <col min="2051" max="2052" width="14.42578125" customWidth="1"/>
    <col min="2055" max="2055" width="11.85546875" bestFit="1" customWidth="1"/>
    <col min="2056" max="2056" width="12.85546875" bestFit="1" customWidth="1"/>
    <col min="2057" max="2058" width="12.85546875" customWidth="1"/>
    <col min="2304" max="2304" width="7.140625" bestFit="1" customWidth="1"/>
    <col min="2305" max="2305" width="21" bestFit="1" customWidth="1"/>
    <col min="2306" max="2306" width="14.140625" customWidth="1"/>
    <col min="2307" max="2308" width="14.42578125" customWidth="1"/>
    <col min="2311" max="2311" width="11.85546875" bestFit="1" customWidth="1"/>
    <col min="2312" max="2312" width="12.85546875" bestFit="1" customWidth="1"/>
    <col min="2313" max="2314" width="12.85546875" customWidth="1"/>
    <col min="2560" max="2560" width="7.140625" bestFit="1" customWidth="1"/>
    <col min="2561" max="2561" width="21" bestFit="1" customWidth="1"/>
    <col min="2562" max="2562" width="14.140625" customWidth="1"/>
    <col min="2563" max="2564" width="14.42578125" customWidth="1"/>
    <col min="2567" max="2567" width="11.85546875" bestFit="1" customWidth="1"/>
    <col min="2568" max="2568" width="12.85546875" bestFit="1" customWidth="1"/>
    <col min="2569" max="2570" width="12.85546875" customWidth="1"/>
    <col min="2816" max="2816" width="7.140625" bestFit="1" customWidth="1"/>
    <col min="2817" max="2817" width="21" bestFit="1" customWidth="1"/>
    <col min="2818" max="2818" width="14.140625" customWidth="1"/>
    <col min="2819" max="2820" width="14.42578125" customWidth="1"/>
    <col min="2823" max="2823" width="11.85546875" bestFit="1" customWidth="1"/>
    <col min="2824" max="2824" width="12.85546875" bestFit="1" customWidth="1"/>
    <col min="2825" max="2826" width="12.85546875" customWidth="1"/>
    <col min="3072" max="3072" width="7.140625" bestFit="1" customWidth="1"/>
    <col min="3073" max="3073" width="21" bestFit="1" customWidth="1"/>
    <col min="3074" max="3074" width="14.140625" customWidth="1"/>
    <col min="3075" max="3076" width="14.42578125" customWidth="1"/>
    <col min="3079" max="3079" width="11.85546875" bestFit="1" customWidth="1"/>
    <col min="3080" max="3080" width="12.85546875" bestFit="1" customWidth="1"/>
    <col min="3081" max="3082" width="12.85546875" customWidth="1"/>
    <col min="3328" max="3328" width="7.140625" bestFit="1" customWidth="1"/>
    <col min="3329" max="3329" width="21" bestFit="1" customWidth="1"/>
    <col min="3330" max="3330" width="14.140625" customWidth="1"/>
    <col min="3331" max="3332" width="14.42578125" customWidth="1"/>
    <col min="3335" max="3335" width="11.85546875" bestFit="1" customWidth="1"/>
    <col min="3336" max="3336" width="12.85546875" bestFit="1" customWidth="1"/>
    <col min="3337" max="3338" width="12.85546875" customWidth="1"/>
    <col min="3584" max="3584" width="7.140625" bestFit="1" customWidth="1"/>
    <col min="3585" max="3585" width="21" bestFit="1" customWidth="1"/>
    <col min="3586" max="3586" width="14.140625" customWidth="1"/>
    <col min="3587" max="3588" width="14.42578125" customWidth="1"/>
    <col min="3591" max="3591" width="11.85546875" bestFit="1" customWidth="1"/>
    <col min="3592" max="3592" width="12.85546875" bestFit="1" customWidth="1"/>
    <col min="3593" max="3594" width="12.85546875" customWidth="1"/>
    <col min="3840" max="3840" width="7.140625" bestFit="1" customWidth="1"/>
    <col min="3841" max="3841" width="21" bestFit="1" customWidth="1"/>
    <col min="3842" max="3842" width="14.140625" customWidth="1"/>
    <col min="3843" max="3844" width="14.42578125" customWidth="1"/>
    <col min="3847" max="3847" width="11.85546875" bestFit="1" customWidth="1"/>
    <col min="3848" max="3848" width="12.85546875" bestFit="1" customWidth="1"/>
    <col min="3849" max="3850" width="12.85546875" customWidth="1"/>
    <col min="4096" max="4096" width="7.140625" bestFit="1" customWidth="1"/>
    <col min="4097" max="4097" width="21" bestFit="1" customWidth="1"/>
    <col min="4098" max="4098" width="14.140625" customWidth="1"/>
    <col min="4099" max="4100" width="14.42578125" customWidth="1"/>
    <col min="4103" max="4103" width="11.85546875" bestFit="1" customWidth="1"/>
    <col min="4104" max="4104" width="12.85546875" bestFit="1" customWidth="1"/>
    <col min="4105" max="4106" width="12.85546875" customWidth="1"/>
    <col min="4352" max="4352" width="7.140625" bestFit="1" customWidth="1"/>
    <col min="4353" max="4353" width="21" bestFit="1" customWidth="1"/>
    <col min="4354" max="4354" width="14.140625" customWidth="1"/>
    <col min="4355" max="4356" width="14.42578125" customWidth="1"/>
    <col min="4359" max="4359" width="11.85546875" bestFit="1" customWidth="1"/>
    <col min="4360" max="4360" width="12.85546875" bestFit="1" customWidth="1"/>
    <col min="4361" max="4362" width="12.85546875" customWidth="1"/>
    <col min="4608" max="4608" width="7.140625" bestFit="1" customWidth="1"/>
    <col min="4609" max="4609" width="21" bestFit="1" customWidth="1"/>
    <col min="4610" max="4610" width="14.140625" customWidth="1"/>
    <col min="4611" max="4612" width="14.42578125" customWidth="1"/>
    <col min="4615" max="4615" width="11.85546875" bestFit="1" customWidth="1"/>
    <col min="4616" max="4616" width="12.85546875" bestFit="1" customWidth="1"/>
    <col min="4617" max="4618" width="12.85546875" customWidth="1"/>
    <col min="4864" max="4864" width="7.140625" bestFit="1" customWidth="1"/>
    <col min="4865" max="4865" width="21" bestFit="1" customWidth="1"/>
    <col min="4866" max="4866" width="14.140625" customWidth="1"/>
    <col min="4867" max="4868" width="14.42578125" customWidth="1"/>
    <col min="4871" max="4871" width="11.85546875" bestFit="1" customWidth="1"/>
    <col min="4872" max="4872" width="12.85546875" bestFit="1" customWidth="1"/>
    <col min="4873" max="4874" width="12.85546875" customWidth="1"/>
    <col min="5120" max="5120" width="7.140625" bestFit="1" customWidth="1"/>
    <col min="5121" max="5121" width="21" bestFit="1" customWidth="1"/>
    <col min="5122" max="5122" width="14.140625" customWidth="1"/>
    <col min="5123" max="5124" width="14.42578125" customWidth="1"/>
    <col min="5127" max="5127" width="11.85546875" bestFit="1" customWidth="1"/>
    <col min="5128" max="5128" width="12.85546875" bestFit="1" customWidth="1"/>
    <col min="5129" max="5130" width="12.85546875" customWidth="1"/>
    <col min="5376" max="5376" width="7.140625" bestFit="1" customWidth="1"/>
    <col min="5377" max="5377" width="21" bestFit="1" customWidth="1"/>
    <col min="5378" max="5378" width="14.140625" customWidth="1"/>
    <col min="5379" max="5380" width="14.42578125" customWidth="1"/>
    <col min="5383" max="5383" width="11.85546875" bestFit="1" customWidth="1"/>
    <col min="5384" max="5384" width="12.85546875" bestFit="1" customWidth="1"/>
    <col min="5385" max="5386" width="12.85546875" customWidth="1"/>
    <col min="5632" max="5632" width="7.140625" bestFit="1" customWidth="1"/>
    <col min="5633" max="5633" width="21" bestFit="1" customWidth="1"/>
    <col min="5634" max="5634" width="14.140625" customWidth="1"/>
    <col min="5635" max="5636" width="14.42578125" customWidth="1"/>
    <col min="5639" max="5639" width="11.85546875" bestFit="1" customWidth="1"/>
    <col min="5640" max="5640" width="12.85546875" bestFit="1" customWidth="1"/>
    <col min="5641" max="5642" width="12.85546875" customWidth="1"/>
    <col min="5888" max="5888" width="7.140625" bestFit="1" customWidth="1"/>
    <col min="5889" max="5889" width="21" bestFit="1" customWidth="1"/>
    <col min="5890" max="5890" width="14.140625" customWidth="1"/>
    <col min="5891" max="5892" width="14.42578125" customWidth="1"/>
    <col min="5895" max="5895" width="11.85546875" bestFit="1" customWidth="1"/>
    <col min="5896" max="5896" width="12.85546875" bestFit="1" customWidth="1"/>
    <col min="5897" max="5898" width="12.85546875" customWidth="1"/>
    <col min="6144" max="6144" width="7.140625" bestFit="1" customWidth="1"/>
    <col min="6145" max="6145" width="21" bestFit="1" customWidth="1"/>
    <col min="6146" max="6146" width="14.140625" customWidth="1"/>
    <col min="6147" max="6148" width="14.42578125" customWidth="1"/>
    <col min="6151" max="6151" width="11.85546875" bestFit="1" customWidth="1"/>
    <col min="6152" max="6152" width="12.85546875" bestFit="1" customWidth="1"/>
    <col min="6153" max="6154" width="12.85546875" customWidth="1"/>
    <col min="6400" max="6400" width="7.140625" bestFit="1" customWidth="1"/>
    <col min="6401" max="6401" width="21" bestFit="1" customWidth="1"/>
    <col min="6402" max="6402" width="14.140625" customWidth="1"/>
    <col min="6403" max="6404" width="14.42578125" customWidth="1"/>
    <col min="6407" max="6407" width="11.85546875" bestFit="1" customWidth="1"/>
    <col min="6408" max="6408" width="12.85546875" bestFit="1" customWidth="1"/>
    <col min="6409" max="6410" width="12.85546875" customWidth="1"/>
    <col min="6656" max="6656" width="7.140625" bestFit="1" customWidth="1"/>
    <col min="6657" max="6657" width="21" bestFit="1" customWidth="1"/>
    <col min="6658" max="6658" width="14.140625" customWidth="1"/>
    <col min="6659" max="6660" width="14.42578125" customWidth="1"/>
    <col min="6663" max="6663" width="11.85546875" bestFit="1" customWidth="1"/>
    <col min="6664" max="6664" width="12.85546875" bestFit="1" customWidth="1"/>
    <col min="6665" max="6666" width="12.85546875" customWidth="1"/>
    <col min="6912" max="6912" width="7.140625" bestFit="1" customWidth="1"/>
    <col min="6913" max="6913" width="21" bestFit="1" customWidth="1"/>
    <col min="6914" max="6914" width="14.140625" customWidth="1"/>
    <col min="6915" max="6916" width="14.42578125" customWidth="1"/>
    <col min="6919" max="6919" width="11.85546875" bestFit="1" customWidth="1"/>
    <col min="6920" max="6920" width="12.85546875" bestFit="1" customWidth="1"/>
    <col min="6921" max="6922" width="12.85546875" customWidth="1"/>
    <col min="7168" max="7168" width="7.140625" bestFit="1" customWidth="1"/>
    <col min="7169" max="7169" width="21" bestFit="1" customWidth="1"/>
    <col min="7170" max="7170" width="14.140625" customWidth="1"/>
    <col min="7171" max="7172" width="14.42578125" customWidth="1"/>
    <col min="7175" max="7175" width="11.85546875" bestFit="1" customWidth="1"/>
    <col min="7176" max="7176" width="12.85546875" bestFit="1" customWidth="1"/>
    <col min="7177" max="7178" width="12.85546875" customWidth="1"/>
    <col min="7424" max="7424" width="7.140625" bestFit="1" customWidth="1"/>
    <col min="7425" max="7425" width="21" bestFit="1" customWidth="1"/>
    <col min="7426" max="7426" width="14.140625" customWidth="1"/>
    <col min="7427" max="7428" width="14.42578125" customWidth="1"/>
    <col min="7431" max="7431" width="11.85546875" bestFit="1" customWidth="1"/>
    <col min="7432" max="7432" width="12.85546875" bestFit="1" customWidth="1"/>
    <col min="7433" max="7434" width="12.85546875" customWidth="1"/>
    <col min="7680" max="7680" width="7.140625" bestFit="1" customWidth="1"/>
    <col min="7681" max="7681" width="21" bestFit="1" customWidth="1"/>
    <col min="7682" max="7682" width="14.140625" customWidth="1"/>
    <col min="7683" max="7684" width="14.42578125" customWidth="1"/>
    <col min="7687" max="7687" width="11.85546875" bestFit="1" customWidth="1"/>
    <col min="7688" max="7688" width="12.85546875" bestFit="1" customWidth="1"/>
    <col min="7689" max="7690" width="12.85546875" customWidth="1"/>
    <col min="7936" max="7936" width="7.140625" bestFit="1" customWidth="1"/>
    <col min="7937" max="7937" width="21" bestFit="1" customWidth="1"/>
    <col min="7938" max="7938" width="14.140625" customWidth="1"/>
    <col min="7939" max="7940" width="14.42578125" customWidth="1"/>
    <col min="7943" max="7943" width="11.85546875" bestFit="1" customWidth="1"/>
    <col min="7944" max="7944" width="12.85546875" bestFit="1" customWidth="1"/>
    <col min="7945" max="7946" width="12.85546875" customWidth="1"/>
    <col min="8192" max="8192" width="7.140625" bestFit="1" customWidth="1"/>
    <col min="8193" max="8193" width="21" bestFit="1" customWidth="1"/>
    <col min="8194" max="8194" width="14.140625" customWidth="1"/>
    <col min="8195" max="8196" width="14.42578125" customWidth="1"/>
    <col min="8199" max="8199" width="11.85546875" bestFit="1" customWidth="1"/>
    <col min="8200" max="8200" width="12.85546875" bestFit="1" customWidth="1"/>
    <col min="8201" max="8202" width="12.85546875" customWidth="1"/>
    <col min="8448" max="8448" width="7.140625" bestFit="1" customWidth="1"/>
    <col min="8449" max="8449" width="21" bestFit="1" customWidth="1"/>
    <col min="8450" max="8450" width="14.140625" customWidth="1"/>
    <col min="8451" max="8452" width="14.42578125" customWidth="1"/>
    <col min="8455" max="8455" width="11.85546875" bestFit="1" customWidth="1"/>
    <col min="8456" max="8456" width="12.85546875" bestFit="1" customWidth="1"/>
    <col min="8457" max="8458" width="12.85546875" customWidth="1"/>
    <col min="8704" max="8704" width="7.140625" bestFit="1" customWidth="1"/>
    <col min="8705" max="8705" width="21" bestFit="1" customWidth="1"/>
    <col min="8706" max="8706" width="14.140625" customWidth="1"/>
    <col min="8707" max="8708" width="14.42578125" customWidth="1"/>
    <col min="8711" max="8711" width="11.85546875" bestFit="1" customWidth="1"/>
    <col min="8712" max="8712" width="12.85546875" bestFit="1" customWidth="1"/>
    <col min="8713" max="8714" width="12.85546875" customWidth="1"/>
    <col min="8960" max="8960" width="7.140625" bestFit="1" customWidth="1"/>
    <col min="8961" max="8961" width="21" bestFit="1" customWidth="1"/>
    <col min="8962" max="8962" width="14.140625" customWidth="1"/>
    <col min="8963" max="8964" width="14.42578125" customWidth="1"/>
    <col min="8967" max="8967" width="11.85546875" bestFit="1" customWidth="1"/>
    <col min="8968" max="8968" width="12.85546875" bestFit="1" customWidth="1"/>
    <col min="8969" max="8970" width="12.85546875" customWidth="1"/>
    <col min="9216" max="9216" width="7.140625" bestFit="1" customWidth="1"/>
    <col min="9217" max="9217" width="21" bestFit="1" customWidth="1"/>
    <col min="9218" max="9218" width="14.140625" customWidth="1"/>
    <col min="9219" max="9220" width="14.42578125" customWidth="1"/>
    <col min="9223" max="9223" width="11.85546875" bestFit="1" customWidth="1"/>
    <col min="9224" max="9224" width="12.85546875" bestFit="1" customWidth="1"/>
    <col min="9225" max="9226" width="12.85546875" customWidth="1"/>
    <col min="9472" max="9472" width="7.140625" bestFit="1" customWidth="1"/>
    <col min="9473" max="9473" width="21" bestFit="1" customWidth="1"/>
    <col min="9474" max="9474" width="14.140625" customWidth="1"/>
    <col min="9475" max="9476" width="14.42578125" customWidth="1"/>
    <col min="9479" max="9479" width="11.85546875" bestFit="1" customWidth="1"/>
    <col min="9480" max="9480" width="12.85546875" bestFit="1" customWidth="1"/>
    <col min="9481" max="9482" width="12.85546875" customWidth="1"/>
    <col min="9728" max="9728" width="7.140625" bestFit="1" customWidth="1"/>
    <col min="9729" max="9729" width="21" bestFit="1" customWidth="1"/>
    <col min="9730" max="9730" width="14.140625" customWidth="1"/>
    <col min="9731" max="9732" width="14.42578125" customWidth="1"/>
    <col min="9735" max="9735" width="11.85546875" bestFit="1" customWidth="1"/>
    <col min="9736" max="9736" width="12.85546875" bestFit="1" customWidth="1"/>
    <col min="9737" max="9738" width="12.85546875" customWidth="1"/>
    <col min="9984" max="9984" width="7.140625" bestFit="1" customWidth="1"/>
    <col min="9985" max="9985" width="21" bestFit="1" customWidth="1"/>
    <col min="9986" max="9986" width="14.140625" customWidth="1"/>
    <col min="9987" max="9988" width="14.42578125" customWidth="1"/>
    <col min="9991" max="9991" width="11.85546875" bestFit="1" customWidth="1"/>
    <col min="9992" max="9992" width="12.85546875" bestFit="1" customWidth="1"/>
    <col min="9993" max="9994" width="12.85546875" customWidth="1"/>
    <col min="10240" max="10240" width="7.140625" bestFit="1" customWidth="1"/>
    <col min="10241" max="10241" width="21" bestFit="1" customWidth="1"/>
    <col min="10242" max="10242" width="14.140625" customWidth="1"/>
    <col min="10243" max="10244" width="14.42578125" customWidth="1"/>
    <col min="10247" max="10247" width="11.85546875" bestFit="1" customWidth="1"/>
    <col min="10248" max="10248" width="12.85546875" bestFit="1" customWidth="1"/>
    <col min="10249" max="10250" width="12.85546875" customWidth="1"/>
    <col min="10496" max="10496" width="7.140625" bestFit="1" customWidth="1"/>
    <col min="10497" max="10497" width="21" bestFit="1" customWidth="1"/>
    <col min="10498" max="10498" width="14.140625" customWidth="1"/>
    <col min="10499" max="10500" width="14.42578125" customWidth="1"/>
    <col min="10503" max="10503" width="11.85546875" bestFit="1" customWidth="1"/>
    <col min="10504" max="10504" width="12.85546875" bestFit="1" customWidth="1"/>
    <col min="10505" max="10506" width="12.85546875" customWidth="1"/>
    <col min="10752" max="10752" width="7.140625" bestFit="1" customWidth="1"/>
    <col min="10753" max="10753" width="21" bestFit="1" customWidth="1"/>
    <col min="10754" max="10754" width="14.140625" customWidth="1"/>
    <col min="10755" max="10756" width="14.42578125" customWidth="1"/>
    <col min="10759" max="10759" width="11.85546875" bestFit="1" customWidth="1"/>
    <col min="10760" max="10760" width="12.85546875" bestFit="1" customWidth="1"/>
    <col min="10761" max="10762" width="12.85546875" customWidth="1"/>
    <col min="11008" max="11008" width="7.140625" bestFit="1" customWidth="1"/>
    <col min="11009" max="11009" width="21" bestFit="1" customWidth="1"/>
    <col min="11010" max="11010" width="14.140625" customWidth="1"/>
    <col min="11011" max="11012" width="14.42578125" customWidth="1"/>
    <col min="11015" max="11015" width="11.85546875" bestFit="1" customWidth="1"/>
    <col min="11016" max="11016" width="12.85546875" bestFit="1" customWidth="1"/>
    <col min="11017" max="11018" width="12.85546875" customWidth="1"/>
    <col min="11264" max="11264" width="7.140625" bestFit="1" customWidth="1"/>
    <col min="11265" max="11265" width="21" bestFit="1" customWidth="1"/>
    <col min="11266" max="11266" width="14.140625" customWidth="1"/>
    <col min="11267" max="11268" width="14.42578125" customWidth="1"/>
    <col min="11271" max="11271" width="11.85546875" bestFit="1" customWidth="1"/>
    <col min="11272" max="11272" width="12.85546875" bestFit="1" customWidth="1"/>
    <col min="11273" max="11274" width="12.85546875" customWidth="1"/>
    <col min="11520" max="11520" width="7.140625" bestFit="1" customWidth="1"/>
    <col min="11521" max="11521" width="21" bestFit="1" customWidth="1"/>
    <col min="11522" max="11522" width="14.140625" customWidth="1"/>
    <col min="11523" max="11524" width="14.42578125" customWidth="1"/>
    <col min="11527" max="11527" width="11.85546875" bestFit="1" customWidth="1"/>
    <col min="11528" max="11528" width="12.85546875" bestFit="1" customWidth="1"/>
    <col min="11529" max="11530" width="12.85546875" customWidth="1"/>
    <col min="11776" max="11776" width="7.140625" bestFit="1" customWidth="1"/>
    <col min="11777" max="11777" width="21" bestFit="1" customWidth="1"/>
    <col min="11778" max="11778" width="14.140625" customWidth="1"/>
    <col min="11779" max="11780" width="14.42578125" customWidth="1"/>
    <col min="11783" max="11783" width="11.85546875" bestFit="1" customWidth="1"/>
    <col min="11784" max="11784" width="12.85546875" bestFit="1" customWidth="1"/>
    <col min="11785" max="11786" width="12.85546875" customWidth="1"/>
    <col min="12032" max="12032" width="7.140625" bestFit="1" customWidth="1"/>
    <col min="12033" max="12033" width="21" bestFit="1" customWidth="1"/>
    <col min="12034" max="12034" width="14.140625" customWidth="1"/>
    <col min="12035" max="12036" width="14.42578125" customWidth="1"/>
    <col min="12039" max="12039" width="11.85546875" bestFit="1" customWidth="1"/>
    <col min="12040" max="12040" width="12.85546875" bestFit="1" customWidth="1"/>
    <col min="12041" max="12042" width="12.85546875" customWidth="1"/>
    <col min="12288" max="12288" width="7.140625" bestFit="1" customWidth="1"/>
    <col min="12289" max="12289" width="21" bestFit="1" customWidth="1"/>
    <col min="12290" max="12290" width="14.140625" customWidth="1"/>
    <col min="12291" max="12292" width="14.42578125" customWidth="1"/>
    <col min="12295" max="12295" width="11.85546875" bestFit="1" customWidth="1"/>
    <col min="12296" max="12296" width="12.85546875" bestFit="1" customWidth="1"/>
    <col min="12297" max="12298" width="12.85546875" customWidth="1"/>
    <col min="12544" max="12544" width="7.140625" bestFit="1" customWidth="1"/>
    <col min="12545" max="12545" width="21" bestFit="1" customWidth="1"/>
    <col min="12546" max="12546" width="14.140625" customWidth="1"/>
    <col min="12547" max="12548" width="14.42578125" customWidth="1"/>
    <col min="12551" max="12551" width="11.85546875" bestFit="1" customWidth="1"/>
    <col min="12552" max="12552" width="12.85546875" bestFit="1" customWidth="1"/>
    <col min="12553" max="12554" width="12.85546875" customWidth="1"/>
    <col min="12800" max="12800" width="7.140625" bestFit="1" customWidth="1"/>
    <col min="12801" max="12801" width="21" bestFit="1" customWidth="1"/>
    <col min="12802" max="12802" width="14.140625" customWidth="1"/>
    <col min="12803" max="12804" width="14.42578125" customWidth="1"/>
    <col min="12807" max="12807" width="11.85546875" bestFit="1" customWidth="1"/>
    <col min="12808" max="12808" width="12.85546875" bestFit="1" customWidth="1"/>
    <col min="12809" max="12810" width="12.85546875" customWidth="1"/>
    <col min="13056" max="13056" width="7.140625" bestFit="1" customWidth="1"/>
    <col min="13057" max="13057" width="21" bestFit="1" customWidth="1"/>
    <col min="13058" max="13058" width="14.140625" customWidth="1"/>
    <col min="13059" max="13060" width="14.42578125" customWidth="1"/>
    <col min="13063" max="13063" width="11.85546875" bestFit="1" customWidth="1"/>
    <col min="13064" max="13064" width="12.85546875" bestFit="1" customWidth="1"/>
    <col min="13065" max="13066" width="12.85546875" customWidth="1"/>
    <col min="13312" max="13312" width="7.140625" bestFit="1" customWidth="1"/>
    <col min="13313" max="13313" width="21" bestFit="1" customWidth="1"/>
    <col min="13314" max="13314" width="14.140625" customWidth="1"/>
    <col min="13315" max="13316" width="14.42578125" customWidth="1"/>
    <col min="13319" max="13319" width="11.85546875" bestFit="1" customWidth="1"/>
    <col min="13320" max="13320" width="12.85546875" bestFit="1" customWidth="1"/>
    <col min="13321" max="13322" width="12.85546875" customWidth="1"/>
    <col min="13568" max="13568" width="7.140625" bestFit="1" customWidth="1"/>
    <col min="13569" max="13569" width="21" bestFit="1" customWidth="1"/>
    <col min="13570" max="13570" width="14.140625" customWidth="1"/>
    <col min="13571" max="13572" width="14.42578125" customWidth="1"/>
    <col min="13575" max="13575" width="11.85546875" bestFit="1" customWidth="1"/>
    <col min="13576" max="13576" width="12.85546875" bestFit="1" customWidth="1"/>
    <col min="13577" max="13578" width="12.85546875" customWidth="1"/>
    <col min="13824" max="13824" width="7.140625" bestFit="1" customWidth="1"/>
    <col min="13825" max="13825" width="21" bestFit="1" customWidth="1"/>
    <col min="13826" max="13826" width="14.140625" customWidth="1"/>
    <col min="13827" max="13828" width="14.42578125" customWidth="1"/>
    <col min="13831" max="13831" width="11.85546875" bestFit="1" customWidth="1"/>
    <col min="13832" max="13832" width="12.85546875" bestFit="1" customWidth="1"/>
    <col min="13833" max="13834" width="12.85546875" customWidth="1"/>
    <col min="14080" max="14080" width="7.140625" bestFit="1" customWidth="1"/>
    <col min="14081" max="14081" width="21" bestFit="1" customWidth="1"/>
    <col min="14082" max="14082" width="14.140625" customWidth="1"/>
    <col min="14083" max="14084" width="14.42578125" customWidth="1"/>
    <col min="14087" max="14087" width="11.85546875" bestFit="1" customWidth="1"/>
    <col min="14088" max="14088" width="12.85546875" bestFit="1" customWidth="1"/>
    <col min="14089" max="14090" width="12.85546875" customWidth="1"/>
    <col min="14336" max="14336" width="7.140625" bestFit="1" customWidth="1"/>
    <col min="14337" max="14337" width="21" bestFit="1" customWidth="1"/>
    <col min="14338" max="14338" width="14.140625" customWidth="1"/>
    <col min="14339" max="14340" width="14.42578125" customWidth="1"/>
    <col min="14343" max="14343" width="11.85546875" bestFit="1" customWidth="1"/>
    <col min="14344" max="14344" width="12.85546875" bestFit="1" customWidth="1"/>
    <col min="14345" max="14346" width="12.85546875" customWidth="1"/>
    <col min="14592" max="14592" width="7.140625" bestFit="1" customWidth="1"/>
    <col min="14593" max="14593" width="21" bestFit="1" customWidth="1"/>
    <col min="14594" max="14594" width="14.140625" customWidth="1"/>
    <col min="14595" max="14596" width="14.42578125" customWidth="1"/>
    <col min="14599" max="14599" width="11.85546875" bestFit="1" customWidth="1"/>
    <col min="14600" max="14600" width="12.85546875" bestFit="1" customWidth="1"/>
    <col min="14601" max="14602" width="12.85546875" customWidth="1"/>
    <col min="14848" max="14848" width="7.140625" bestFit="1" customWidth="1"/>
    <col min="14849" max="14849" width="21" bestFit="1" customWidth="1"/>
    <col min="14850" max="14850" width="14.140625" customWidth="1"/>
    <col min="14851" max="14852" width="14.42578125" customWidth="1"/>
    <col min="14855" max="14855" width="11.85546875" bestFit="1" customWidth="1"/>
    <col min="14856" max="14856" width="12.85546875" bestFit="1" customWidth="1"/>
    <col min="14857" max="14858" width="12.85546875" customWidth="1"/>
    <col min="15104" max="15104" width="7.140625" bestFit="1" customWidth="1"/>
    <col min="15105" max="15105" width="21" bestFit="1" customWidth="1"/>
    <col min="15106" max="15106" width="14.140625" customWidth="1"/>
    <col min="15107" max="15108" width="14.42578125" customWidth="1"/>
    <col min="15111" max="15111" width="11.85546875" bestFit="1" customWidth="1"/>
    <col min="15112" max="15112" width="12.85546875" bestFit="1" customWidth="1"/>
    <col min="15113" max="15114" width="12.85546875" customWidth="1"/>
    <col min="15360" max="15360" width="7.140625" bestFit="1" customWidth="1"/>
    <col min="15361" max="15361" width="21" bestFit="1" customWidth="1"/>
    <col min="15362" max="15362" width="14.140625" customWidth="1"/>
    <col min="15363" max="15364" width="14.42578125" customWidth="1"/>
    <col min="15367" max="15367" width="11.85546875" bestFit="1" customWidth="1"/>
    <col min="15368" max="15368" width="12.85546875" bestFit="1" customWidth="1"/>
    <col min="15369" max="15370" width="12.85546875" customWidth="1"/>
    <col min="15616" max="15616" width="7.140625" bestFit="1" customWidth="1"/>
    <col min="15617" max="15617" width="21" bestFit="1" customWidth="1"/>
    <col min="15618" max="15618" width="14.140625" customWidth="1"/>
    <col min="15619" max="15620" width="14.42578125" customWidth="1"/>
    <col min="15623" max="15623" width="11.85546875" bestFit="1" customWidth="1"/>
    <col min="15624" max="15624" width="12.85546875" bestFit="1" customWidth="1"/>
    <col min="15625" max="15626" width="12.85546875" customWidth="1"/>
    <col min="15872" max="15872" width="7.140625" bestFit="1" customWidth="1"/>
    <col min="15873" max="15873" width="21" bestFit="1" customWidth="1"/>
    <col min="15874" max="15874" width="14.140625" customWidth="1"/>
    <col min="15875" max="15876" width="14.42578125" customWidth="1"/>
    <col min="15879" max="15879" width="11.85546875" bestFit="1" customWidth="1"/>
    <col min="15880" max="15880" width="12.85546875" bestFit="1" customWidth="1"/>
    <col min="15881" max="15882" width="12.85546875" customWidth="1"/>
    <col min="16128" max="16128" width="7.140625" bestFit="1" customWidth="1"/>
    <col min="16129" max="16129" width="21" bestFit="1" customWidth="1"/>
    <col min="16130" max="16130" width="14.140625" customWidth="1"/>
    <col min="16131" max="16132" width="14.42578125" customWidth="1"/>
    <col min="16135" max="16135" width="11.85546875" bestFit="1" customWidth="1"/>
    <col min="16136" max="16136" width="12.85546875" bestFit="1" customWidth="1"/>
    <col min="16137" max="16138" width="12.85546875" customWidth="1"/>
  </cols>
  <sheetData>
    <row r="1" spans="1:14" x14ac:dyDescent="0.25">
      <c r="A1" s="68" t="s">
        <v>233</v>
      </c>
      <c r="B1" s="68"/>
      <c r="C1" s="68"/>
      <c r="D1" s="68"/>
      <c r="E1" s="68"/>
      <c r="F1" s="68"/>
      <c r="G1" s="68"/>
      <c r="H1" s="68"/>
      <c r="I1" s="68"/>
      <c r="J1" s="68"/>
    </row>
    <row r="3" spans="1:14" ht="16.5" x14ac:dyDescent="0.25">
      <c r="C3" s="70" t="s">
        <v>234</v>
      </c>
      <c r="D3" s="70"/>
      <c r="E3" s="70"/>
      <c r="F3" s="70" t="s">
        <v>235</v>
      </c>
      <c r="G3" s="70"/>
      <c r="H3" s="70"/>
      <c r="I3" s="70"/>
      <c r="J3" s="71"/>
    </row>
    <row r="4" spans="1:14" ht="49.9" customHeight="1" x14ac:dyDescent="0.25">
      <c r="A4" s="20" t="s">
        <v>10</v>
      </c>
      <c r="B4" s="72" t="s">
        <v>236</v>
      </c>
      <c r="C4" s="12" t="s">
        <v>12</v>
      </c>
      <c r="D4" s="12" t="s">
        <v>13</v>
      </c>
      <c r="E4" s="9" t="s">
        <v>237</v>
      </c>
      <c r="F4" s="17" t="s">
        <v>27</v>
      </c>
      <c r="G4" s="12" t="s">
        <v>28</v>
      </c>
      <c r="H4" s="12" t="s">
        <v>29</v>
      </c>
      <c r="I4" s="9" t="s">
        <v>238</v>
      </c>
      <c r="J4" s="73" t="s">
        <v>239</v>
      </c>
    </row>
    <row r="5" spans="1:14" x14ac:dyDescent="0.25">
      <c r="A5" s="20">
        <v>1</v>
      </c>
      <c r="B5" s="74" t="s">
        <v>240</v>
      </c>
      <c r="C5" s="22">
        <f>'[1]Participaciones  Tabla I'!C5</f>
        <v>6550</v>
      </c>
      <c r="D5" s="24">
        <f t="shared" ref="D5:D68" si="0">C5/$C$111</f>
        <v>2.8221834824279225E-3</v>
      </c>
      <c r="E5" s="24">
        <f t="shared" ref="E5:E68" si="1">D5*0.7</f>
        <v>1.9755284376995457E-3</v>
      </c>
      <c r="F5" s="75">
        <f>'[1]Participaciones  Tabla I'!X5</f>
        <v>52.064402972226397</v>
      </c>
      <c r="G5" s="22">
        <f>C5*(9.261-0.1456*F5)</f>
        <v>11006.770173447123</v>
      </c>
      <c r="H5" s="33">
        <f t="shared" ref="H5:H68" si="2">G5/$G$111</f>
        <v>4.7665005926614346E-3</v>
      </c>
      <c r="I5" s="33">
        <f t="shared" ref="I5:I68" si="3">H5*0.3</f>
        <v>1.4299501777984304E-3</v>
      </c>
      <c r="J5" s="76">
        <f t="shared" ref="J5:J68" si="4">+E5+I5</f>
        <v>3.4054786154979763E-3</v>
      </c>
      <c r="K5" s="69">
        <v>3.4054786154979763E-3</v>
      </c>
      <c r="L5" s="69">
        <f>K5-J5</f>
        <v>0</v>
      </c>
      <c r="N5" s="77"/>
    </row>
    <row r="6" spans="1:14" x14ac:dyDescent="0.25">
      <c r="A6" s="20">
        <v>2</v>
      </c>
      <c r="B6" s="74" t="s">
        <v>241</v>
      </c>
      <c r="C6" s="22">
        <f>'[1]Participaciones  Tabla I'!C6</f>
        <v>16772</v>
      </c>
      <c r="D6" s="24">
        <f t="shared" si="0"/>
        <v>7.2265131858444444E-3</v>
      </c>
      <c r="E6" s="24">
        <f t="shared" si="1"/>
        <v>5.0585592300911109E-3</v>
      </c>
      <c r="F6" s="75">
        <f>'[1]Participaciones  Tabla I'!X6</f>
        <v>55.083317191262999</v>
      </c>
      <c r="G6" s="22">
        <f t="shared" ref="G6:G69" si="5">C6*(9.261-0.1456*F6)</f>
        <v>20811.855152320713</v>
      </c>
      <c r="H6" s="33">
        <f t="shared" si="2"/>
        <v>9.0126093626658361E-3</v>
      </c>
      <c r="I6" s="33">
        <f t="shared" si="3"/>
        <v>2.7037828087997508E-3</v>
      </c>
      <c r="J6" s="76">
        <f t="shared" si="4"/>
        <v>7.7623420388908612E-3</v>
      </c>
      <c r="K6" s="69">
        <v>7.7623420388908612E-3</v>
      </c>
      <c r="L6" s="69">
        <f t="shared" ref="L6:L69" si="6">K6-J6</f>
        <v>0</v>
      </c>
      <c r="N6" s="77"/>
    </row>
    <row r="7" spans="1:14" x14ac:dyDescent="0.25">
      <c r="A7" s="20">
        <v>3</v>
      </c>
      <c r="B7" s="74" t="s">
        <v>242</v>
      </c>
      <c r="C7" s="22">
        <f>'[1]Participaciones  Tabla I'!C7</f>
        <v>12285</v>
      </c>
      <c r="D7" s="24">
        <f t="shared" si="0"/>
        <v>5.293209783454508E-3</v>
      </c>
      <c r="E7" s="24">
        <f t="shared" si="1"/>
        <v>3.7052468484181553E-3</v>
      </c>
      <c r="F7" s="75">
        <f>'[1]Participaciones  Tabla I'!X7</f>
        <v>53.822860644154098</v>
      </c>
      <c r="G7" s="22">
        <f t="shared" si="5"/>
        <v>17498.64945724413</v>
      </c>
      <c r="H7" s="33">
        <f t="shared" si="2"/>
        <v>7.5778199866425632E-3</v>
      </c>
      <c r="I7" s="33">
        <f t="shared" si="3"/>
        <v>2.2733459959927687E-3</v>
      </c>
      <c r="J7" s="78">
        <f t="shared" si="4"/>
        <v>5.9785928444109245E-3</v>
      </c>
      <c r="K7" s="69">
        <v>5.9785928444109245E-3</v>
      </c>
      <c r="L7" s="69">
        <f t="shared" si="6"/>
        <v>0</v>
      </c>
      <c r="N7" s="77"/>
    </row>
    <row r="8" spans="1:14" x14ac:dyDescent="0.25">
      <c r="A8" s="20">
        <v>4</v>
      </c>
      <c r="B8" s="79" t="s">
        <v>243</v>
      </c>
      <c r="C8" s="22">
        <f>'[1]Participaciones  Tabla I'!C8</f>
        <v>6195</v>
      </c>
      <c r="D8" s="24">
        <f t="shared" si="0"/>
        <v>2.6692254463574015E-3</v>
      </c>
      <c r="E8" s="24">
        <f t="shared" si="1"/>
        <v>1.8684578124501809E-3</v>
      </c>
      <c r="F8" s="75">
        <f>'[1]Participaciones  Tabla I'!X8</f>
        <v>55.026934819492702</v>
      </c>
      <c r="G8" s="22">
        <f t="shared" si="5"/>
        <v>7738.0400082961323</v>
      </c>
      <c r="H8" s="33">
        <f t="shared" si="2"/>
        <v>3.3509714207133477E-3</v>
      </c>
      <c r="I8" s="33">
        <f t="shared" si="3"/>
        <v>1.0052914262140044E-3</v>
      </c>
      <c r="J8" s="76">
        <f t="shared" si="4"/>
        <v>2.8737492386641853E-3</v>
      </c>
      <c r="K8" s="69">
        <v>2.8737492386641853E-3</v>
      </c>
      <c r="L8" s="69">
        <f t="shared" si="6"/>
        <v>0</v>
      </c>
      <c r="N8" s="77"/>
    </row>
    <row r="9" spans="1:14" x14ac:dyDescent="0.25">
      <c r="A9" s="20">
        <v>5</v>
      </c>
      <c r="B9" s="79" t="s">
        <v>244</v>
      </c>
      <c r="C9" s="22">
        <f>'[1]Participaciones  Tabla I'!C9</f>
        <v>2167</v>
      </c>
      <c r="D9" s="24">
        <f t="shared" si="0"/>
        <v>9.3369032159103932E-4</v>
      </c>
      <c r="E9" s="24">
        <f t="shared" si="1"/>
        <v>6.5358322511372747E-4</v>
      </c>
      <c r="F9" s="75">
        <f>'[1]Participaciones  Tabla I'!X9</f>
        <v>54.383083000653997</v>
      </c>
      <c r="G9" s="22">
        <f t="shared" si="5"/>
        <v>2909.8976904320507</v>
      </c>
      <c r="H9" s="33">
        <f t="shared" si="2"/>
        <v>1.2601361568799492E-3</v>
      </c>
      <c r="I9" s="33">
        <f t="shared" si="3"/>
        <v>3.7804084706398472E-4</v>
      </c>
      <c r="J9" s="76">
        <f t="shared" si="4"/>
        <v>1.0316240721777122E-3</v>
      </c>
      <c r="K9" s="69">
        <v>1.0316240721777122E-3</v>
      </c>
      <c r="L9" s="69">
        <f t="shared" si="6"/>
        <v>0</v>
      </c>
      <c r="N9" s="77"/>
    </row>
    <row r="10" spans="1:14" x14ac:dyDescent="0.25">
      <c r="A10" s="20">
        <v>6</v>
      </c>
      <c r="B10" s="74" t="s">
        <v>245</v>
      </c>
      <c r="C10" s="22">
        <f>'[1]Participaciones  Tabla I'!C10</f>
        <v>9159</v>
      </c>
      <c r="D10" s="24">
        <f t="shared" si="0"/>
        <v>3.9463173306194411E-3</v>
      </c>
      <c r="E10" s="24">
        <f t="shared" si="1"/>
        <v>2.7624221314336084E-3</v>
      </c>
      <c r="F10" s="75">
        <f>'[1]Participaciones  Tabla I'!X10</f>
        <v>54.146130246399998</v>
      </c>
      <c r="G10" s="22">
        <f t="shared" si="5"/>
        <v>12614.90535146117</v>
      </c>
      <c r="H10" s="33">
        <f t="shared" si="2"/>
        <v>5.4629062737371814E-3</v>
      </c>
      <c r="I10" s="33">
        <f t="shared" si="3"/>
        <v>1.6388718821211544E-3</v>
      </c>
      <c r="J10" s="76">
        <f t="shared" si="4"/>
        <v>4.4012940135547633E-3</v>
      </c>
      <c r="K10" s="69">
        <v>4.4012940135547633E-3</v>
      </c>
      <c r="L10" s="69">
        <f t="shared" si="6"/>
        <v>0</v>
      </c>
      <c r="N10" s="77"/>
    </row>
    <row r="11" spans="1:14" x14ac:dyDescent="0.25">
      <c r="A11" s="20">
        <v>7</v>
      </c>
      <c r="B11" s="79" t="s">
        <v>246</v>
      </c>
      <c r="C11" s="22">
        <f>'[1]Participaciones  Tabla I'!C11</f>
        <v>7490</v>
      </c>
      <c r="D11" s="24">
        <f t="shared" si="0"/>
        <v>3.2271991272343724E-3</v>
      </c>
      <c r="E11" s="24">
        <f t="shared" si="1"/>
        <v>2.2590393890640605E-3</v>
      </c>
      <c r="F11" s="75">
        <f>'[1]Participaciones  Tabla I'!X11</f>
        <v>56.256665752072699</v>
      </c>
      <c r="G11" s="22">
        <f t="shared" si="5"/>
        <v>8014.5207040716241</v>
      </c>
      <c r="H11" s="33">
        <f t="shared" si="2"/>
        <v>3.4707018574814848E-3</v>
      </c>
      <c r="I11" s="33">
        <f t="shared" si="3"/>
        <v>1.0412105572444453E-3</v>
      </c>
      <c r="J11" s="76">
        <f t="shared" si="4"/>
        <v>3.3002499463085058E-3</v>
      </c>
      <c r="K11" s="69">
        <v>3.3002499463085058E-3</v>
      </c>
      <c r="L11" s="69">
        <f t="shared" si="6"/>
        <v>0</v>
      </c>
      <c r="N11" s="77"/>
    </row>
    <row r="12" spans="1:14" x14ac:dyDescent="0.25">
      <c r="A12" s="20">
        <v>8</v>
      </c>
      <c r="B12" s="74" t="s">
        <v>247</v>
      </c>
      <c r="C12" s="22">
        <f>'[1]Participaciones  Tabla I'!C12</f>
        <v>3949</v>
      </c>
      <c r="D12" s="24">
        <f t="shared" si="0"/>
        <v>1.7014965758943305E-3</v>
      </c>
      <c r="E12" s="24">
        <f t="shared" si="1"/>
        <v>1.1910476031260313E-3</v>
      </c>
      <c r="F12" s="75">
        <f>'[1]Participaciones  Tabla I'!X12</f>
        <v>52.119102222447303</v>
      </c>
      <c r="G12" s="22">
        <f t="shared" si="5"/>
        <v>6604.5394711096887</v>
      </c>
      <c r="H12" s="33">
        <f t="shared" si="2"/>
        <v>2.8601070802081654E-3</v>
      </c>
      <c r="I12" s="33">
        <f t="shared" si="3"/>
        <v>8.5803212406244955E-4</v>
      </c>
      <c r="J12" s="76">
        <f t="shared" si="4"/>
        <v>2.049079727188481E-3</v>
      </c>
      <c r="K12" s="69">
        <v>2.049079727188481E-3</v>
      </c>
      <c r="L12" s="69">
        <f t="shared" si="6"/>
        <v>0</v>
      </c>
      <c r="N12" s="77"/>
    </row>
    <row r="13" spans="1:14" x14ac:dyDescent="0.25">
      <c r="A13" s="20">
        <v>9</v>
      </c>
      <c r="B13" s="79" t="s">
        <v>248</v>
      </c>
      <c r="C13" s="22">
        <f>'[1]Participaciones  Tabla I'!C13</f>
        <v>4466</v>
      </c>
      <c r="D13" s="24">
        <f t="shared" si="0"/>
        <v>1.924255180537878E-3</v>
      </c>
      <c r="E13" s="24">
        <f t="shared" si="1"/>
        <v>1.3469786263765144E-3</v>
      </c>
      <c r="F13" s="75">
        <f>'[1]Participaciones  Tabla I'!X13</f>
        <v>53.728510472629701</v>
      </c>
      <c r="G13" s="22">
        <f t="shared" si="5"/>
        <v>6422.6835565767215</v>
      </c>
      <c r="H13" s="33">
        <f t="shared" si="2"/>
        <v>2.7813540663139081E-3</v>
      </c>
      <c r="I13" s="33">
        <f t="shared" si="3"/>
        <v>8.3440621989417242E-4</v>
      </c>
      <c r="J13" s="76">
        <f t="shared" si="4"/>
        <v>2.181384846270687E-3</v>
      </c>
      <c r="K13" s="69">
        <v>2.181384846270687E-3</v>
      </c>
      <c r="L13" s="69">
        <f t="shared" si="6"/>
        <v>0</v>
      </c>
      <c r="N13" s="77"/>
    </row>
    <row r="14" spans="1:14" x14ac:dyDescent="0.25">
      <c r="A14" s="20">
        <v>10</v>
      </c>
      <c r="B14" s="74" t="s">
        <v>249</v>
      </c>
      <c r="C14" s="22">
        <f>'[1]Participaciones  Tabla I'!C14</f>
        <v>2755</v>
      </c>
      <c r="D14" s="24">
        <f t="shared" si="0"/>
        <v>1.1870405334486909E-3</v>
      </c>
      <c r="E14" s="24">
        <f t="shared" si="1"/>
        <v>8.309283734140836E-4</v>
      </c>
      <c r="F14" s="75">
        <f>'[1]Participaciones  Tabla I'!X14</f>
        <v>49.061852249180603</v>
      </c>
      <c r="G14" s="22">
        <f t="shared" si="5"/>
        <v>5833.9723309906803</v>
      </c>
      <c r="H14" s="33">
        <f t="shared" si="2"/>
        <v>2.5264116661871425E-3</v>
      </c>
      <c r="I14" s="33">
        <f t="shared" si="3"/>
        <v>7.5792349985614267E-4</v>
      </c>
      <c r="J14" s="76">
        <f t="shared" si="4"/>
        <v>1.5888518732702262E-3</v>
      </c>
      <c r="K14" s="69">
        <v>1.5888518732702262E-3</v>
      </c>
      <c r="L14" s="69">
        <f t="shared" si="6"/>
        <v>0</v>
      </c>
      <c r="N14" s="77"/>
    </row>
    <row r="15" spans="1:14" x14ac:dyDescent="0.25">
      <c r="A15" s="20">
        <v>11</v>
      </c>
      <c r="B15" s="74" t="s">
        <v>250</v>
      </c>
      <c r="C15" s="22">
        <f>'[1]Participaciones  Tabla I'!C15</f>
        <v>8389</v>
      </c>
      <c r="D15" s="24">
        <f t="shared" si="0"/>
        <v>3.6145491960439449E-3</v>
      </c>
      <c r="E15" s="24">
        <f t="shared" si="1"/>
        <v>2.5301844372307611E-3</v>
      </c>
      <c r="F15" s="75">
        <f>'[1]Participaciones  Tabla I'!X15</f>
        <v>55.201169409642802</v>
      </c>
      <c r="G15" s="22">
        <f t="shared" si="5"/>
        <v>10265.70095815694</v>
      </c>
      <c r="H15" s="33">
        <f t="shared" si="2"/>
        <v>4.4455793052882156E-3</v>
      </c>
      <c r="I15" s="33">
        <f t="shared" si="3"/>
        <v>1.3336737915864646E-3</v>
      </c>
      <c r="J15" s="76">
        <f t="shared" si="4"/>
        <v>3.863858228817226E-3</v>
      </c>
      <c r="K15" s="69">
        <v>3.863858228817226E-3</v>
      </c>
      <c r="L15" s="69">
        <f t="shared" si="6"/>
        <v>0</v>
      </c>
      <c r="N15" s="77"/>
    </row>
    <row r="16" spans="1:14" x14ac:dyDescent="0.25">
      <c r="A16" s="20">
        <v>12</v>
      </c>
      <c r="B16" s="74" t="s">
        <v>251</v>
      </c>
      <c r="C16" s="22">
        <f>'[1]Participaciones  Tabla I'!C16</f>
        <v>3736</v>
      </c>
      <c r="D16" s="24">
        <f t="shared" si="0"/>
        <v>1.609721754252018E-3</v>
      </c>
      <c r="E16" s="24">
        <f t="shared" si="1"/>
        <v>1.1268052279764125E-3</v>
      </c>
      <c r="F16" s="75">
        <f>'[1]Participaciones  Tabla I'!X16</f>
        <v>53.734002402342497</v>
      </c>
      <c r="G16" s="22">
        <f t="shared" si="5"/>
        <v>5369.862078817926</v>
      </c>
      <c r="H16" s="33">
        <f t="shared" si="2"/>
        <v>2.3254279300700411E-3</v>
      </c>
      <c r="I16" s="33">
        <f t="shared" si="3"/>
        <v>6.9762837902101233E-4</v>
      </c>
      <c r="J16" s="76">
        <f t="shared" si="4"/>
        <v>1.8244336069974249E-3</v>
      </c>
      <c r="K16" s="69">
        <v>1.8244336069974249E-3</v>
      </c>
      <c r="L16" s="69">
        <f t="shared" si="6"/>
        <v>0</v>
      </c>
      <c r="N16" s="77"/>
    </row>
    <row r="17" spans="1:14" x14ac:dyDescent="0.25">
      <c r="A17" s="20">
        <v>13</v>
      </c>
      <c r="B17" s="79" t="s">
        <v>252</v>
      </c>
      <c r="C17" s="22">
        <f>'[1]Participaciones  Tabla I'!C17</f>
        <v>16671</v>
      </c>
      <c r="D17" s="24">
        <f t="shared" si="0"/>
        <v>7.1829955474131133E-3</v>
      </c>
      <c r="E17" s="24">
        <f t="shared" si="1"/>
        <v>5.028096883189179E-3</v>
      </c>
      <c r="F17" s="75">
        <f>'[1]Participaciones  Tabla I'!X17</f>
        <v>58.883084195099201</v>
      </c>
      <c r="G17" s="22">
        <f t="shared" si="5"/>
        <v>11463.362052637745</v>
      </c>
      <c r="H17" s="33">
        <f t="shared" si="2"/>
        <v>4.9642284845380861E-3</v>
      </c>
      <c r="I17" s="33">
        <f t="shared" si="3"/>
        <v>1.4892685453614257E-3</v>
      </c>
      <c r="J17" s="76">
        <f t="shared" si="4"/>
        <v>6.5173654285506045E-3</v>
      </c>
      <c r="K17" s="69">
        <v>6.5173654285506045E-3</v>
      </c>
      <c r="L17" s="69">
        <f t="shared" si="6"/>
        <v>0</v>
      </c>
      <c r="N17" s="77"/>
    </row>
    <row r="18" spans="1:14" x14ac:dyDescent="0.25">
      <c r="A18" s="20">
        <v>14</v>
      </c>
      <c r="B18" s="74" t="s">
        <v>253</v>
      </c>
      <c r="C18" s="22">
        <f>'[1]Participaciones  Tabla I'!C18</f>
        <v>1714</v>
      </c>
      <c r="D18" s="24">
        <f t="shared" si="0"/>
        <v>7.3850725021090973E-4</v>
      </c>
      <c r="E18" s="24">
        <f t="shared" si="1"/>
        <v>5.1695507514763674E-4</v>
      </c>
      <c r="F18" s="75">
        <f>'[1]Participaciones  Tabla I'!X18</f>
        <v>52.603119206433099</v>
      </c>
      <c r="G18" s="22">
        <f t="shared" si="5"/>
        <v>2745.8037358332836</v>
      </c>
      <c r="H18" s="33">
        <f t="shared" si="2"/>
        <v>1.1890749900233849E-3</v>
      </c>
      <c r="I18" s="33">
        <f t="shared" si="3"/>
        <v>3.5672249700701548E-4</v>
      </c>
      <c r="J18" s="76">
        <f t="shared" si="4"/>
        <v>8.7367757215465222E-4</v>
      </c>
      <c r="K18" s="69">
        <v>8.7367757215465222E-4</v>
      </c>
      <c r="L18" s="69">
        <f t="shared" si="6"/>
        <v>0</v>
      </c>
      <c r="N18" s="77"/>
    </row>
    <row r="19" spans="1:14" x14ac:dyDescent="0.25">
      <c r="A19" s="20">
        <v>15</v>
      </c>
      <c r="B19" s="79" t="s">
        <v>254</v>
      </c>
      <c r="C19" s="22">
        <f>'[1]Participaciones  Tabla I'!C19</f>
        <v>5560</v>
      </c>
      <c r="D19" s="24">
        <f t="shared" si="0"/>
        <v>2.3956244522594272E-3</v>
      </c>
      <c r="E19" s="24">
        <f t="shared" si="1"/>
        <v>1.6769371165815991E-3</v>
      </c>
      <c r="F19" s="75">
        <f>'[1]Participaciones  Tabla I'!X19</f>
        <v>51.711242823354397</v>
      </c>
      <c r="G19" s="22">
        <f t="shared" si="5"/>
        <v>9629.0473297529661</v>
      </c>
      <c r="H19" s="33">
        <f t="shared" si="2"/>
        <v>4.1698753658684275E-3</v>
      </c>
      <c r="I19" s="33">
        <f t="shared" si="3"/>
        <v>1.2509626097605283E-3</v>
      </c>
      <c r="J19" s="76">
        <f t="shared" si="4"/>
        <v>2.9278997263421274E-3</v>
      </c>
      <c r="K19" s="69">
        <v>2.9278997263421274E-3</v>
      </c>
      <c r="L19" s="69">
        <f t="shared" si="6"/>
        <v>0</v>
      </c>
      <c r="N19" s="77"/>
    </row>
    <row r="20" spans="1:14" x14ac:dyDescent="0.25">
      <c r="A20" s="20">
        <v>16</v>
      </c>
      <c r="B20" s="74" t="s">
        <v>255</v>
      </c>
      <c r="C20" s="22">
        <f>'[1]Participaciones  Tabla I'!C20</f>
        <v>3104</v>
      </c>
      <c r="D20" s="24">
        <f t="shared" si="0"/>
        <v>1.3374133632757666E-3</v>
      </c>
      <c r="E20" s="24">
        <f t="shared" si="1"/>
        <v>9.3618935429303656E-4</v>
      </c>
      <c r="F20" s="75">
        <f>'[1]Participaciones  Tabla I'!X20</f>
        <v>52.303856046019497</v>
      </c>
      <c r="G20" s="22">
        <f t="shared" si="5"/>
        <v>5107.8137693074341</v>
      </c>
      <c r="H20" s="33">
        <f t="shared" si="2"/>
        <v>2.211947462784468E-3</v>
      </c>
      <c r="I20" s="33">
        <f t="shared" si="3"/>
        <v>6.6358423883534033E-4</v>
      </c>
      <c r="J20" s="76">
        <f t="shared" si="4"/>
        <v>1.5997735931283768E-3</v>
      </c>
      <c r="K20" s="69">
        <v>1.5997735931283768E-3</v>
      </c>
      <c r="L20" s="69">
        <f t="shared" si="6"/>
        <v>0</v>
      </c>
      <c r="N20" s="77"/>
    </row>
    <row r="21" spans="1:14" x14ac:dyDescent="0.25">
      <c r="A21" s="20">
        <v>17</v>
      </c>
      <c r="B21" s="74" t="s">
        <v>256</v>
      </c>
      <c r="C21" s="22">
        <f>'[1]Participaciones  Tabla I'!C21</f>
        <v>4686</v>
      </c>
      <c r="D21" s="24">
        <f t="shared" si="0"/>
        <v>2.0190460761308768E-3</v>
      </c>
      <c r="E21" s="24">
        <f t="shared" si="1"/>
        <v>1.4133322532916136E-3</v>
      </c>
      <c r="F21" s="75">
        <f>'[1]Participaciones  Tabla I'!X21</f>
        <v>49.888448401560701</v>
      </c>
      <c r="G21" s="22">
        <f t="shared" si="5"/>
        <v>9359.0756030657139</v>
      </c>
      <c r="H21" s="33">
        <f t="shared" si="2"/>
        <v>4.052963649263228E-3</v>
      </c>
      <c r="I21" s="33">
        <f t="shared" si="3"/>
        <v>1.2158890947789683E-3</v>
      </c>
      <c r="J21" s="76">
        <f t="shared" si="4"/>
        <v>2.6292213480705821E-3</v>
      </c>
      <c r="K21" s="69">
        <v>2.6292213480705821E-3</v>
      </c>
      <c r="L21" s="69">
        <f t="shared" si="6"/>
        <v>0</v>
      </c>
      <c r="N21" s="77"/>
    </row>
    <row r="22" spans="1:14" x14ac:dyDescent="0.25">
      <c r="A22" s="20">
        <v>18</v>
      </c>
      <c r="B22" s="74" t="s">
        <v>257</v>
      </c>
      <c r="C22" s="22">
        <f>'[1]Participaciones  Tabla I'!C22</f>
        <v>3385</v>
      </c>
      <c r="D22" s="24">
        <f t="shared" si="0"/>
        <v>1.4584871890104606E-3</v>
      </c>
      <c r="E22" s="24">
        <f t="shared" si="1"/>
        <v>1.0209410323073224E-3</v>
      </c>
      <c r="F22" s="75">
        <f>'[1]Participaciones  Tabla I'!X22</f>
        <v>52.576072279621599</v>
      </c>
      <c r="G22" s="22">
        <f t="shared" si="5"/>
        <v>5436.0523205548143</v>
      </c>
      <c r="H22" s="33">
        <f t="shared" si="2"/>
        <v>2.3540917271236386E-3</v>
      </c>
      <c r="I22" s="33">
        <f t="shared" si="3"/>
        <v>7.0622751813709153E-4</v>
      </c>
      <c r="J22" s="76">
        <f t="shared" si="4"/>
        <v>1.7271685504444139E-3</v>
      </c>
      <c r="K22" s="69">
        <v>1.7271685504444139E-3</v>
      </c>
      <c r="L22" s="69">
        <f t="shared" si="6"/>
        <v>0</v>
      </c>
      <c r="N22" s="77"/>
    </row>
    <row r="23" spans="1:14" x14ac:dyDescent="0.25">
      <c r="A23" s="20">
        <v>19</v>
      </c>
      <c r="B23" s="74" t="s">
        <v>258</v>
      </c>
      <c r="C23" s="22">
        <f>'[1]Participaciones  Tabla I'!C23</f>
        <v>38934</v>
      </c>
      <c r="D23" s="24">
        <f t="shared" si="0"/>
        <v>1.6775403313717362E-2</v>
      </c>
      <c r="E23" s="24">
        <f t="shared" si="1"/>
        <v>1.1742782319602152E-2</v>
      </c>
      <c r="F23" s="75">
        <f>'[1]Participaciones  Tabla I'!X23</f>
        <v>48.7793371874385</v>
      </c>
      <c r="G23" s="22">
        <f t="shared" si="5"/>
        <v>84047.935633485569</v>
      </c>
      <c r="H23" s="33">
        <f t="shared" si="2"/>
        <v>3.6397101846954785E-2</v>
      </c>
      <c r="I23" s="33">
        <f t="shared" si="3"/>
        <v>1.0919130554086436E-2</v>
      </c>
      <c r="J23" s="76">
        <f t="shared" si="4"/>
        <v>2.2661912873688586E-2</v>
      </c>
      <c r="K23" s="69">
        <v>2.2661912873688586E-2</v>
      </c>
      <c r="L23" s="69">
        <f t="shared" si="6"/>
        <v>0</v>
      </c>
      <c r="N23" s="77"/>
    </row>
    <row r="24" spans="1:14" x14ac:dyDescent="0.25">
      <c r="A24" s="20">
        <v>20</v>
      </c>
      <c r="B24" s="79" t="s">
        <v>259</v>
      </c>
      <c r="C24" s="22">
        <f>'[1]Participaciones  Tabla I'!C24</f>
        <v>4497</v>
      </c>
      <c r="D24" s="24">
        <f t="shared" si="0"/>
        <v>1.937612079462346E-3</v>
      </c>
      <c r="E24" s="24">
        <f t="shared" si="1"/>
        <v>1.3563284556236421E-3</v>
      </c>
      <c r="F24" s="75">
        <f>'[1]Participaciones  Tabla I'!X24</f>
        <v>55.688963939236402</v>
      </c>
      <c r="G24" s="22">
        <f t="shared" si="5"/>
        <v>5183.6327664609616</v>
      </c>
      <c r="H24" s="33">
        <f t="shared" si="2"/>
        <v>2.2447810087904627E-3</v>
      </c>
      <c r="I24" s="33">
        <f t="shared" si="3"/>
        <v>6.7343430263713876E-4</v>
      </c>
      <c r="J24" s="76">
        <f t="shared" si="4"/>
        <v>2.0297627582607806E-3</v>
      </c>
      <c r="K24" s="69">
        <v>2.0297627582607806E-3</v>
      </c>
      <c r="L24" s="69">
        <f t="shared" si="6"/>
        <v>0</v>
      </c>
      <c r="N24" s="77"/>
    </row>
    <row r="25" spans="1:14" x14ac:dyDescent="0.25">
      <c r="A25" s="20">
        <v>21</v>
      </c>
      <c r="B25" s="74" t="s">
        <v>260</v>
      </c>
      <c r="C25" s="22">
        <f>'[1]Participaciones  Tabla I'!C25</f>
        <v>9406</v>
      </c>
      <c r="D25" s="24">
        <f t="shared" si="0"/>
        <v>4.052741654307945E-3</v>
      </c>
      <c r="E25" s="24">
        <f t="shared" si="1"/>
        <v>2.8369191580155614E-3</v>
      </c>
      <c r="F25" s="75">
        <f>'[1]Participaciones  Tabla I'!X25</f>
        <v>50.171329232292102</v>
      </c>
      <c r="G25" s="22">
        <f t="shared" si="5"/>
        <v>18398.648286298398</v>
      </c>
      <c r="H25" s="33">
        <f t="shared" si="2"/>
        <v>7.9675660142675096E-3</v>
      </c>
      <c r="I25" s="33">
        <f t="shared" si="3"/>
        <v>2.3902698042802526E-3</v>
      </c>
      <c r="J25" s="76">
        <f t="shared" si="4"/>
        <v>5.227188962295814E-3</v>
      </c>
      <c r="K25" s="69">
        <v>5.227188962295814E-3</v>
      </c>
      <c r="L25" s="69">
        <f t="shared" si="6"/>
        <v>0</v>
      </c>
      <c r="N25" s="77"/>
    </row>
    <row r="26" spans="1:14" x14ac:dyDescent="0.25">
      <c r="A26" s="20">
        <v>22</v>
      </c>
      <c r="B26" s="74" t="s">
        <v>261</v>
      </c>
      <c r="C26" s="22">
        <f>'[1]Participaciones  Tabla I'!C26</f>
        <v>4363</v>
      </c>
      <c r="D26" s="24">
        <f t="shared" si="0"/>
        <v>1.879875806692065E-3</v>
      </c>
      <c r="E26" s="24">
        <f t="shared" si="1"/>
        <v>1.3159130646844455E-3</v>
      </c>
      <c r="F26" s="75">
        <f>'[1]Participaciones  Tabla I'!X26</f>
        <v>49.088945837836199</v>
      </c>
      <c r="G26" s="22">
        <f t="shared" si="5"/>
        <v>9221.8527074662015</v>
      </c>
      <c r="H26" s="33">
        <f t="shared" si="2"/>
        <v>3.9935390403275667E-3</v>
      </c>
      <c r="I26" s="33">
        <f t="shared" si="3"/>
        <v>1.1980617120982699E-3</v>
      </c>
      <c r="J26" s="76">
        <f t="shared" si="4"/>
        <v>2.5139747767827154E-3</v>
      </c>
      <c r="K26" s="69">
        <v>2.5139747767827154E-3</v>
      </c>
      <c r="L26" s="69">
        <f t="shared" si="6"/>
        <v>0</v>
      </c>
      <c r="N26" s="77"/>
    </row>
    <row r="27" spans="1:14" x14ac:dyDescent="0.25">
      <c r="A27" s="20">
        <v>23</v>
      </c>
      <c r="B27" s="74" t="s">
        <v>262</v>
      </c>
      <c r="C27" s="22">
        <f>'[1]Participaciones  Tabla I'!C27</f>
        <v>4863</v>
      </c>
      <c r="D27" s="24">
        <f t="shared" si="0"/>
        <v>2.095309660312517E-3</v>
      </c>
      <c r="E27" s="24">
        <f t="shared" si="1"/>
        <v>1.4667167622187617E-3</v>
      </c>
      <c r="F27" s="75">
        <f>'[1]Participaciones  Tabla I'!X27</f>
        <v>54.827067853042699</v>
      </c>
      <c r="G27" s="22">
        <f t="shared" si="5"/>
        <v>6215.7840908631242</v>
      </c>
      <c r="H27" s="33">
        <f t="shared" si="2"/>
        <v>2.6917558998759204E-3</v>
      </c>
      <c r="I27" s="33">
        <f t="shared" si="3"/>
        <v>8.0752676996277608E-4</v>
      </c>
      <c r="J27" s="76">
        <f t="shared" si="4"/>
        <v>2.274243532181538E-3</v>
      </c>
      <c r="K27" s="69">
        <v>2.274243532181538E-3</v>
      </c>
      <c r="L27" s="69">
        <f t="shared" si="6"/>
        <v>0</v>
      </c>
      <c r="N27" s="77"/>
    </row>
    <row r="28" spans="1:14" x14ac:dyDescent="0.25">
      <c r="A28" s="20">
        <v>24</v>
      </c>
      <c r="B28" s="74" t="s">
        <v>263</v>
      </c>
      <c r="C28" s="22">
        <f>'[1]Participaciones  Tabla I'!C28</f>
        <v>3244</v>
      </c>
      <c r="D28" s="24">
        <f t="shared" si="0"/>
        <v>1.397734842289493E-3</v>
      </c>
      <c r="E28" s="24">
        <f t="shared" si="1"/>
        <v>9.78414389602645E-4</v>
      </c>
      <c r="F28" s="75">
        <f>'[1]Participaciones  Tabla I'!X28</f>
        <v>51.226445609730597</v>
      </c>
      <c r="G28" s="22">
        <f t="shared" si="5"/>
        <v>5847.0813603601373</v>
      </c>
      <c r="H28" s="33">
        <f t="shared" si="2"/>
        <v>2.5320885537094668E-3</v>
      </c>
      <c r="I28" s="33">
        <f t="shared" si="3"/>
        <v>7.5962656611283999E-4</v>
      </c>
      <c r="J28" s="76">
        <f t="shared" si="4"/>
        <v>1.738040955715485E-3</v>
      </c>
      <c r="K28" s="69">
        <v>1.738040955715485E-3</v>
      </c>
      <c r="L28" s="69">
        <f t="shared" si="6"/>
        <v>0</v>
      </c>
      <c r="N28" s="77"/>
    </row>
    <row r="29" spans="1:14" x14ac:dyDescent="0.25">
      <c r="A29" s="20">
        <v>25</v>
      </c>
      <c r="B29" s="74" t="s">
        <v>264</v>
      </c>
      <c r="C29" s="22">
        <f>'[1]Participaciones  Tabla I'!C29</f>
        <v>6003</v>
      </c>
      <c r="D29" s="24">
        <f t="shared" si="0"/>
        <v>2.5864988465671476E-3</v>
      </c>
      <c r="E29" s="24">
        <f t="shared" si="1"/>
        <v>1.8105491925970031E-3</v>
      </c>
      <c r="F29" s="75">
        <f>'[1]Participaciones  Tabla I'!X29</f>
        <v>54.958322962571401</v>
      </c>
      <c r="G29" s="22">
        <f t="shared" si="5"/>
        <v>7558.1862644275643</v>
      </c>
      <c r="H29" s="33">
        <f t="shared" si="2"/>
        <v>3.2730854502394662E-3</v>
      </c>
      <c r="I29" s="33">
        <f t="shared" si="3"/>
        <v>9.8192563507183976E-4</v>
      </c>
      <c r="J29" s="76">
        <f t="shared" si="4"/>
        <v>2.7924748276688428E-3</v>
      </c>
      <c r="K29" s="69">
        <v>2.7924748276688428E-3</v>
      </c>
      <c r="L29" s="69">
        <f t="shared" si="6"/>
        <v>0</v>
      </c>
      <c r="N29" s="77"/>
    </row>
    <row r="30" spans="1:14" x14ac:dyDescent="0.25">
      <c r="A30" s="20">
        <v>26</v>
      </c>
      <c r="B30" s="79" t="s">
        <v>265</v>
      </c>
      <c r="C30" s="22">
        <f>'[1]Participaciones  Tabla I'!C30</f>
        <v>3622</v>
      </c>
      <c r="D30" s="24">
        <f t="shared" si="0"/>
        <v>1.5606028356265548E-3</v>
      </c>
      <c r="E30" s="24">
        <f t="shared" si="1"/>
        <v>1.0924219849385883E-3</v>
      </c>
      <c r="F30" s="75">
        <f>'[1]Participaciones  Tabla I'!X30</f>
        <v>55.088869679474499</v>
      </c>
      <c r="G30" s="22">
        <f t="shared" si="5"/>
        <v>4491.4994014493486</v>
      </c>
      <c r="H30" s="33">
        <f t="shared" si="2"/>
        <v>1.9450514748271489E-3</v>
      </c>
      <c r="I30" s="33">
        <f t="shared" si="3"/>
        <v>5.8351544244814469E-4</v>
      </c>
      <c r="J30" s="76">
        <f t="shared" si="4"/>
        <v>1.6759374273867329E-3</v>
      </c>
      <c r="K30" s="69">
        <v>1.6759374273867329E-3</v>
      </c>
      <c r="L30" s="69">
        <f t="shared" si="6"/>
        <v>0</v>
      </c>
      <c r="N30" s="77"/>
    </row>
    <row r="31" spans="1:14" x14ac:dyDescent="0.25">
      <c r="A31" s="20">
        <v>27</v>
      </c>
      <c r="B31" s="74" t="s">
        <v>266</v>
      </c>
      <c r="C31" s="22">
        <f>'[1]Participaciones  Tabla I'!C31</f>
        <v>8345</v>
      </c>
      <c r="D31" s="24">
        <f t="shared" si="0"/>
        <v>3.5955910169253452E-3</v>
      </c>
      <c r="E31" s="24">
        <f t="shared" si="1"/>
        <v>2.5169137118477413E-3</v>
      </c>
      <c r="F31" s="75">
        <f>'[1]Participaciones  Tabla I'!X31</f>
        <v>56.710971441663801</v>
      </c>
      <c r="G31" s="22">
        <f t="shared" si="5"/>
        <v>8377.3999472923424</v>
      </c>
      <c r="H31" s="33">
        <f t="shared" si="2"/>
        <v>3.6278473325499798E-3</v>
      </c>
      <c r="I31" s="33">
        <f t="shared" si="3"/>
        <v>1.088354199764994E-3</v>
      </c>
      <c r="J31" s="76">
        <f t="shared" si="4"/>
        <v>3.6052679116127355E-3</v>
      </c>
      <c r="K31" s="69">
        <v>3.6052679116127355E-3</v>
      </c>
      <c r="L31" s="69">
        <f t="shared" si="6"/>
        <v>0</v>
      </c>
      <c r="N31" s="77"/>
    </row>
    <row r="32" spans="1:14" x14ac:dyDescent="0.25">
      <c r="A32" s="20">
        <v>28</v>
      </c>
      <c r="B32" s="74" t="s">
        <v>267</v>
      </c>
      <c r="C32" s="22">
        <f>'[1]Participaciones  Tabla I'!C32</f>
        <v>2936</v>
      </c>
      <c r="D32" s="24">
        <f t="shared" si="0"/>
        <v>1.2650275884592947E-3</v>
      </c>
      <c r="E32" s="24">
        <f t="shared" si="1"/>
        <v>8.8551931192150618E-4</v>
      </c>
      <c r="F32" s="75">
        <f>'[1]Participaciones  Tabla I'!X32</f>
        <v>54.903949457612498</v>
      </c>
      <c r="G32" s="22">
        <f t="shared" si="5"/>
        <v>3719.8678395406741</v>
      </c>
      <c r="H32" s="33">
        <f t="shared" si="2"/>
        <v>1.6108951111350298E-3</v>
      </c>
      <c r="I32" s="33">
        <f t="shared" si="3"/>
        <v>4.8326853334050893E-4</v>
      </c>
      <c r="J32" s="76">
        <f t="shared" si="4"/>
        <v>1.3687878452620151E-3</v>
      </c>
      <c r="K32" s="69">
        <v>1.3687878452620151E-3</v>
      </c>
      <c r="L32" s="69">
        <f t="shared" si="6"/>
        <v>0</v>
      </c>
      <c r="N32" s="77"/>
    </row>
    <row r="33" spans="1:14" x14ac:dyDescent="0.25">
      <c r="A33" s="20">
        <v>29</v>
      </c>
      <c r="B33" s="74" t="s">
        <v>268</v>
      </c>
      <c r="C33" s="22">
        <f>'[1]Participaciones  Tabla I'!C33</f>
        <v>6240</v>
      </c>
      <c r="D33" s="24">
        <f t="shared" si="0"/>
        <v>2.6886144931832418E-3</v>
      </c>
      <c r="E33" s="24">
        <f t="shared" si="1"/>
        <v>1.8820301452282691E-3</v>
      </c>
      <c r="F33" s="75">
        <f>'[1]Participaciones  Tabla I'!X33</f>
        <v>55.462182976939197</v>
      </c>
      <c r="G33" s="22">
        <f t="shared" si="5"/>
        <v>7398.8064293997486</v>
      </c>
      <c r="H33" s="33">
        <f t="shared" si="2"/>
        <v>3.2040657409017495E-3</v>
      </c>
      <c r="I33" s="33">
        <f t="shared" si="3"/>
        <v>9.6121972227052477E-4</v>
      </c>
      <c r="J33" s="76">
        <f t="shared" si="4"/>
        <v>2.8432498674987941E-3</v>
      </c>
      <c r="K33" s="69">
        <v>2.8432498674987941E-3</v>
      </c>
      <c r="L33" s="69">
        <f t="shared" si="6"/>
        <v>0</v>
      </c>
      <c r="N33" s="77"/>
    </row>
    <row r="34" spans="1:14" x14ac:dyDescent="0.25">
      <c r="A34" s="20">
        <v>30</v>
      </c>
      <c r="B34" s="74" t="s">
        <v>269</v>
      </c>
      <c r="C34" s="22">
        <f>'[1]Participaciones  Tabla I'!C34</f>
        <v>4015</v>
      </c>
      <c r="D34" s="24">
        <f t="shared" si="0"/>
        <v>1.7299338445722302E-3</v>
      </c>
      <c r="E34" s="24">
        <f t="shared" si="1"/>
        <v>1.2109536912005611E-3</v>
      </c>
      <c r="F34" s="75">
        <f>'[1]Participaciones  Tabla I'!X34</f>
        <v>49.2620186668522</v>
      </c>
      <c r="G34" s="22">
        <f t="shared" si="5"/>
        <v>8385.1270796568715</v>
      </c>
      <c r="H34" s="33">
        <f t="shared" si="2"/>
        <v>3.6311935803969597E-3</v>
      </c>
      <c r="I34" s="33">
        <f t="shared" si="3"/>
        <v>1.0893580741190879E-3</v>
      </c>
      <c r="J34" s="76">
        <f t="shared" si="4"/>
        <v>2.300311765319649E-3</v>
      </c>
      <c r="K34" s="69">
        <v>2.300311765319649E-3</v>
      </c>
      <c r="L34" s="69">
        <f t="shared" si="6"/>
        <v>0</v>
      </c>
      <c r="N34" s="77"/>
    </row>
    <row r="35" spans="1:14" x14ac:dyDescent="0.25">
      <c r="A35" s="20">
        <v>31</v>
      </c>
      <c r="B35" s="79" t="s">
        <v>270</v>
      </c>
      <c r="C35" s="22">
        <f>'[1]Participaciones  Tabla I'!C35</f>
        <v>2818</v>
      </c>
      <c r="D35" s="24">
        <f t="shared" si="0"/>
        <v>1.2141851990048679E-3</v>
      </c>
      <c r="E35" s="24">
        <f t="shared" si="1"/>
        <v>8.4992963930340755E-4</v>
      </c>
      <c r="F35" s="75">
        <f>'[1]Participaciones  Tabla I'!X35</f>
        <v>51.262294036781803</v>
      </c>
      <c r="G35" s="22">
        <f t="shared" si="5"/>
        <v>5064.537746873194</v>
      </c>
      <c r="H35" s="33">
        <f t="shared" si="2"/>
        <v>2.1932067074738452E-3</v>
      </c>
      <c r="I35" s="33">
        <f t="shared" si="3"/>
        <v>6.5796201224215358E-4</v>
      </c>
      <c r="J35" s="76">
        <f t="shared" si="4"/>
        <v>1.5078916515455611E-3</v>
      </c>
      <c r="K35" s="69">
        <v>1.5078916515455611E-3</v>
      </c>
      <c r="L35" s="69">
        <f t="shared" si="6"/>
        <v>0</v>
      </c>
      <c r="N35" s="77"/>
    </row>
    <row r="36" spans="1:14" x14ac:dyDescent="0.25">
      <c r="A36" s="20">
        <v>32</v>
      </c>
      <c r="B36" s="74" t="s">
        <v>271</v>
      </c>
      <c r="C36" s="22">
        <f>'[1]Participaciones  Tabla I'!C36</f>
        <v>16779</v>
      </c>
      <c r="D36" s="24">
        <f t="shared" si="0"/>
        <v>7.2295292597951309E-3</v>
      </c>
      <c r="E36" s="24">
        <f t="shared" si="1"/>
        <v>5.0606704818565917E-3</v>
      </c>
      <c r="F36" s="75">
        <f>'[1]Participaciones  Tabla I'!X36</f>
        <v>52.251815023813997</v>
      </c>
      <c r="G36" s="22">
        <f t="shared" si="5"/>
        <v>27737.964456165846</v>
      </c>
      <c r="H36" s="33">
        <f t="shared" si="2"/>
        <v>1.2011972807289894E-2</v>
      </c>
      <c r="I36" s="33">
        <f t="shared" si="3"/>
        <v>3.6035918421869679E-3</v>
      </c>
      <c r="J36" s="76">
        <f t="shared" si="4"/>
        <v>8.66426232404356E-3</v>
      </c>
      <c r="K36" s="69">
        <v>8.66426232404356E-3</v>
      </c>
      <c r="L36" s="69">
        <f t="shared" si="6"/>
        <v>0</v>
      </c>
      <c r="N36" s="77"/>
    </row>
    <row r="37" spans="1:14" x14ac:dyDescent="0.25">
      <c r="A37" s="20">
        <v>33</v>
      </c>
      <c r="B37" s="74" t="s">
        <v>272</v>
      </c>
      <c r="C37" s="22">
        <f>'[1]Participaciones  Tabla I'!C37</f>
        <v>21255</v>
      </c>
      <c r="D37" s="24">
        <f t="shared" si="0"/>
        <v>9.1580931174054178E-3</v>
      </c>
      <c r="E37" s="24">
        <f t="shared" si="1"/>
        <v>6.4106651821837918E-3</v>
      </c>
      <c r="F37" s="75">
        <f>'[1]Participaciones  Tabla I'!X37</f>
        <v>52.109950730545897</v>
      </c>
      <c r="G37" s="22">
        <f t="shared" si="5"/>
        <v>35576.431395559128</v>
      </c>
      <c r="H37" s="33">
        <f t="shared" si="2"/>
        <v>1.5406434281765654E-2</v>
      </c>
      <c r="I37" s="33">
        <f t="shared" si="3"/>
        <v>4.6219302845296965E-3</v>
      </c>
      <c r="J37" s="76">
        <f t="shared" si="4"/>
        <v>1.1032595466713488E-2</v>
      </c>
      <c r="K37" s="69">
        <v>1.1032595466713488E-2</v>
      </c>
      <c r="L37" s="69">
        <f t="shared" si="6"/>
        <v>0</v>
      </c>
      <c r="N37" s="77"/>
    </row>
    <row r="38" spans="1:14" x14ac:dyDescent="0.25">
      <c r="A38" s="20">
        <v>34</v>
      </c>
      <c r="B38" s="74" t="s">
        <v>273</v>
      </c>
      <c r="C38" s="22">
        <f>'[1]Participaciones  Tabla I'!C38</f>
        <v>6514</v>
      </c>
      <c r="D38" s="24">
        <f t="shared" si="0"/>
        <v>2.8066722449672497E-3</v>
      </c>
      <c r="E38" s="24">
        <f t="shared" si="1"/>
        <v>1.9646705714770748E-3</v>
      </c>
      <c r="F38" s="75">
        <f>'[1]Participaciones  Tabla I'!X38</f>
        <v>50.966674166207099</v>
      </c>
      <c r="G38" s="22">
        <f t="shared" si="5"/>
        <v>11987.403100481197</v>
      </c>
      <c r="H38" s="33">
        <f t="shared" si="2"/>
        <v>5.1911653539160399E-3</v>
      </c>
      <c r="I38" s="33">
        <f t="shared" si="3"/>
        <v>1.5573496061748119E-3</v>
      </c>
      <c r="J38" s="76">
        <f t="shared" si="4"/>
        <v>3.522020177651887E-3</v>
      </c>
      <c r="K38" s="69">
        <v>3.522020177651887E-3</v>
      </c>
      <c r="L38" s="69">
        <f t="shared" si="6"/>
        <v>0</v>
      </c>
      <c r="N38" s="77"/>
    </row>
    <row r="39" spans="1:14" x14ac:dyDescent="0.25">
      <c r="A39" s="20">
        <v>35</v>
      </c>
      <c r="B39" s="74" t="s">
        <v>274</v>
      </c>
      <c r="C39" s="22">
        <f>'[1]Participaciones  Tabla I'!C39</f>
        <v>6384</v>
      </c>
      <c r="D39" s="24">
        <f t="shared" si="0"/>
        <v>2.7506594430259323E-3</v>
      </c>
      <c r="E39" s="24">
        <f t="shared" si="1"/>
        <v>1.9254616101181525E-3</v>
      </c>
      <c r="F39" s="75">
        <f>'[1]Participaciones  Tabla I'!X39</f>
        <v>52.660157138938303</v>
      </c>
      <c r="G39" s="22">
        <f t="shared" si="5"/>
        <v>10174.060273722596</v>
      </c>
      <c r="H39" s="33">
        <f t="shared" si="2"/>
        <v>4.4058941506256834E-3</v>
      </c>
      <c r="I39" s="33">
        <f t="shared" si="3"/>
        <v>1.3217682451877051E-3</v>
      </c>
      <c r="J39" s="76">
        <f t="shared" si="4"/>
        <v>3.2472298553058573E-3</v>
      </c>
      <c r="K39" s="69">
        <v>3.2472298553058573E-3</v>
      </c>
      <c r="L39" s="69">
        <f t="shared" si="6"/>
        <v>0</v>
      </c>
      <c r="N39" s="77"/>
    </row>
    <row r="40" spans="1:14" x14ac:dyDescent="0.25">
      <c r="A40" s="20">
        <v>36</v>
      </c>
      <c r="B40" s="79" t="s">
        <v>275</v>
      </c>
      <c r="C40" s="22">
        <f>'[1]Participaciones  Tabla I'!C40</f>
        <v>8090</v>
      </c>
      <c r="D40" s="24">
        <f t="shared" si="0"/>
        <v>3.4857197515789145E-3</v>
      </c>
      <c r="E40" s="24">
        <f t="shared" si="1"/>
        <v>2.4400038261052398E-3</v>
      </c>
      <c r="F40" s="75">
        <f>'[1]Participaciones  Tabla I'!X40</f>
        <v>53.030389865795101</v>
      </c>
      <c r="G40" s="22">
        <f t="shared" si="5"/>
        <v>12456.781655520479</v>
      </c>
      <c r="H40" s="33">
        <f t="shared" si="2"/>
        <v>5.3944305375731479E-3</v>
      </c>
      <c r="I40" s="33">
        <f t="shared" si="3"/>
        <v>1.6183291612719443E-3</v>
      </c>
      <c r="J40" s="76">
        <f t="shared" si="4"/>
        <v>4.0583329873771839E-3</v>
      </c>
      <c r="K40" s="69">
        <v>4.0583329873771839E-3</v>
      </c>
      <c r="L40" s="69">
        <f t="shared" si="6"/>
        <v>0</v>
      </c>
      <c r="N40" s="77"/>
    </row>
    <row r="41" spans="1:14" x14ac:dyDescent="0.25">
      <c r="A41" s="20">
        <v>37</v>
      </c>
      <c r="B41" s="79" t="s">
        <v>276</v>
      </c>
      <c r="C41" s="22">
        <f>'[1]Participaciones  Tabla I'!C41</f>
        <v>5250</v>
      </c>
      <c r="D41" s="24">
        <f t="shared" si="0"/>
        <v>2.262055463014747E-3</v>
      </c>
      <c r="E41" s="24">
        <f t="shared" si="1"/>
        <v>1.5834388241103229E-3</v>
      </c>
      <c r="F41" s="75">
        <f>'[1]Participaciones  Tabla I'!X41</f>
        <v>54.088077284278299</v>
      </c>
      <c r="G41" s="22">
        <f t="shared" si="5"/>
        <v>7275.3237238976644</v>
      </c>
      <c r="H41" s="33">
        <f t="shared" si="2"/>
        <v>3.1505913447179338E-3</v>
      </c>
      <c r="I41" s="33">
        <f t="shared" si="3"/>
        <v>9.4517740341538005E-4</v>
      </c>
      <c r="J41" s="76">
        <f t="shared" si="4"/>
        <v>2.5286162275257032E-3</v>
      </c>
      <c r="K41" s="69">
        <v>2.5286162275257032E-3</v>
      </c>
      <c r="L41" s="69">
        <f t="shared" si="6"/>
        <v>0</v>
      </c>
      <c r="N41" s="77"/>
    </row>
    <row r="42" spans="1:14" x14ac:dyDescent="0.25">
      <c r="A42" s="20">
        <v>38</v>
      </c>
      <c r="B42" s="74" t="s">
        <v>277</v>
      </c>
      <c r="C42" s="22">
        <f>'[1]Participaciones  Tabla I'!C42</f>
        <v>35137</v>
      </c>
      <c r="D42" s="24">
        <f t="shared" si="0"/>
        <v>1.5139398629323651E-2</v>
      </c>
      <c r="E42" s="24">
        <f t="shared" si="1"/>
        <v>1.0597579040526555E-2</v>
      </c>
      <c r="F42" s="75">
        <f>'[1]Participaciones  Tabla I'!X42</f>
        <v>54.493181212077502</v>
      </c>
      <c r="G42" s="22">
        <f t="shared" si="5"/>
        <v>46619.519158979456</v>
      </c>
      <c r="H42" s="33">
        <f t="shared" si="2"/>
        <v>2.018866226869475E-2</v>
      </c>
      <c r="I42" s="33">
        <f t="shared" si="3"/>
        <v>6.0565986806084245E-3</v>
      </c>
      <c r="J42" s="76">
        <f t="shared" si="4"/>
        <v>1.6654177721134981E-2</v>
      </c>
      <c r="K42" s="69">
        <v>1.6654177721134981E-2</v>
      </c>
      <c r="L42" s="69">
        <f t="shared" si="6"/>
        <v>0</v>
      </c>
      <c r="N42" s="77"/>
    </row>
    <row r="43" spans="1:14" x14ac:dyDescent="0.25">
      <c r="A43" s="20">
        <v>39</v>
      </c>
      <c r="B43" s="79" t="s">
        <v>278</v>
      </c>
      <c r="C43" s="22">
        <f>'[1]Participaciones  Tabla I'!C43</f>
        <v>4186</v>
      </c>
      <c r="D43" s="24">
        <f t="shared" si="0"/>
        <v>1.8036122225104248E-3</v>
      </c>
      <c r="E43" s="24">
        <f t="shared" si="1"/>
        <v>1.2625285557572973E-3</v>
      </c>
      <c r="F43" s="75">
        <f>'[1]Participaciones  Tabla I'!X43</f>
        <v>55.1057406418157</v>
      </c>
      <c r="G43" s="22">
        <f t="shared" si="5"/>
        <v>5180.6110244411384</v>
      </c>
      <c r="H43" s="33">
        <f t="shared" si="2"/>
        <v>2.2434724382560198E-3</v>
      </c>
      <c r="I43" s="33">
        <f t="shared" si="3"/>
        <v>6.7304173147680597E-4</v>
      </c>
      <c r="J43" s="76">
        <f t="shared" si="4"/>
        <v>1.9355702872341034E-3</v>
      </c>
      <c r="K43" s="69">
        <v>1.9355702872341034E-3</v>
      </c>
      <c r="L43" s="69">
        <f t="shared" si="6"/>
        <v>0</v>
      </c>
      <c r="N43" s="77"/>
    </row>
    <row r="44" spans="1:14" x14ac:dyDescent="0.25">
      <c r="A44" s="20">
        <v>40</v>
      </c>
      <c r="B44" s="79" t="s">
        <v>279</v>
      </c>
      <c r="C44" s="22">
        <f>'[1]Participaciones  Tabla I'!C44</f>
        <v>28555</v>
      </c>
      <c r="D44" s="24">
        <f t="shared" si="0"/>
        <v>1.2303427380264019E-2</v>
      </c>
      <c r="E44" s="24">
        <f t="shared" si="1"/>
        <v>8.6123991661848122E-3</v>
      </c>
      <c r="F44" s="75">
        <f>'[1]Participaciones  Tabla I'!X44</f>
        <v>55.022645544476198</v>
      </c>
      <c r="G44" s="22">
        <f t="shared" si="5"/>
        <v>35685.263703121345</v>
      </c>
      <c r="H44" s="33">
        <f t="shared" si="2"/>
        <v>1.5453564298139346E-2</v>
      </c>
      <c r="I44" s="33">
        <f t="shared" si="3"/>
        <v>4.6360692894418035E-3</v>
      </c>
      <c r="J44" s="76">
        <f t="shared" si="4"/>
        <v>1.3248468455626616E-2</v>
      </c>
      <c r="K44" s="69">
        <v>1.3248468455626616E-2</v>
      </c>
      <c r="L44" s="69">
        <f t="shared" si="6"/>
        <v>0</v>
      </c>
      <c r="N44" s="77"/>
    </row>
    <row r="45" spans="1:14" x14ac:dyDescent="0.25">
      <c r="A45" s="20">
        <v>41</v>
      </c>
      <c r="B45" s="79" t="s">
        <v>280</v>
      </c>
      <c r="C45" s="22">
        <f>'[1]Participaciones  Tabla I'!C45</f>
        <v>141939</v>
      </c>
      <c r="D45" s="24">
        <f t="shared" si="0"/>
        <v>6.1156931498066697E-2</v>
      </c>
      <c r="E45" s="24">
        <f t="shared" si="1"/>
        <v>4.2809852048646686E-2</v>
      </c>
      <c r="F45" s="75">
        <f>'[1]Participaciones  Tabla I'!X45</f>
        <v>58.122018789171797</v>
      </c>
      <c r="G45" s="22">
        <f t="shared" si="5"/>
        <v>113328.93265219289</v>
      </c>
      <c r="H45" s="33">
        <f t="shared" si="2"/>
        <v>4.9077287536675236E-2</v>
      </c>
      <c r="I45" s="33">
        <f t="shared" si="3"/>
        <v>1.4723186261002569E-2</v>
      </c>
      <c r="J45" s="76">
        <f t="shared" si="4"/>
        <v>5.7533038309649259E-2</v>
      </c>
      <c r="K45" s="69">
        <v>5.7533038309649259E-2</v>
      </c>
      <c r="L45" s="69">
        <f t="shared" si="6"/>
        <v>0</v>
      </c>
      <c r="N45" s="77"/>
    </row>
    <row r="46" spans="1:14" x14ac:dyDescent="0.25">
      <c r="A46" s="20">
        <v>42</v>
      </c>
      <c r="B46" s="74" t="s">
        <v>281</v>
      </c>
      <c r="C46" s="22">
        <f>'[1]Participaciones  Tabla I'!C46</f>
        <v>5553</v>
      </c>
      <c r="D46" s="24">
        <f t="shared" si="0"/>
        <v>2.3926083783087407E-3</v>
      </c>
      <c r="E46" s="24">
        <f t="shared" si="1"/>
        <v>1.6748258648161185E-3</v>
      </c>
      <c r="F46" s="75">
        <f>'[1]Participaciones  Tabla I'!X46</f>
        <v>52.537152252264796</v>
      </c>
      <c r="G46" s="22">
        <f t="shared" si="5"/>
        <v>8949.1627798860682</v>
      </c>
      <c r="H46" s="33">
        <f t="shared" si="2"/>
        <v>3.8754502021905528E-3</v>
      </c>
      <c r="I46" s="33">
        <f t="shared" si="3"/>
        <v>1.1626350606571659E-3</v>
      </c>
      <c r="J46" s="76">
        <f t="shared" si="4"/>
        <v>2.8374609254732844E-3</v>
      </c>
      <c r="K46" s="69">
        <v>2.8374609254732844E-3</v>
      </c>
      <c r="L46" s="69">
        <f t="shared" si="6"/>
        <v>0</v>
      </c>
      <c r="N46" s="77"/>
    </row>
    <row r="47" spans="1:14" x14ac:dyDescent="0.25">
      <c r="A47" s="20">
        <v>43</v>
      </c>
      <c r="B47" s="74" t="s">
        <v>282</v>
      </c>
      <c r="C47" s="22">
        <f>'[1]Participaciones  Tabla I'!C47</f>
        <v>3405</v>
      </c>
      <c r="D47" s="24">
        <f t="shared" si="0"/>
        <v>1.4671045431552787E-3</v>
      </c>
      <c r="E47" s="24">
        <f t="shared" si="1"/>
        <v>1.026973180208695E-3</v>
      </c>
      <c r="F47" s="75">
        <f>'[1]Participaciones  Tabla I'!X47</f>
        <v>51.940833109295802</v>
      </c>
      <c r="G47" s="22">
        <f t="shared" si="5"/>
        <v>5783.1020510706339</v>
      </c>
      <c r="H47" s="33">
        <f t="shared" si="2"/>
        <v>2.5043822047223527E-3</v>
      </c>
      <c r="I47" s="33">
        <f t="shared" si="3"/>
        <v>7.513146614167058E-4</v>
      </c>
      <c r="J47" s="76">
        <f t="shared" si="4"/>
        <v>1.7782878416254008E-3</v>
      </c>
      <c r="K47" s="69">
        <v>1.7782878416254008E-3</v>
      </c>
      <c r="L47" s="69">
        <f t="shared" si="6"/>
        <v>0</v>
      </c>
      <c r="N47" s="77"/>
    </row>
    <row r="48" spans="1:14" x14ac:dyDescent="0.25">
      <c r="A48" s="20">
        <v>44</v>
      </c>
      <c r="B48" s="74" t="s">
        <v>283</v>
      </c>
      <c r="C48" s="22">
        <f>'[1]Participaciones  Tabla I'!C48</f>
        <v>7530</v>
      </c>
      <c r="D48" s="24">
        <f t="shared" si="0"/>
        <v>3.2444338355240082E-3</v>
      </c>
      <c r="E48" s="24">
        <f t="shared" si="1"/>
        <v>2.2711036848668056E-3</v>
      </c>
      <c r="F48" s="75">
        <f>'[1]Participaciones  Tabla I'!X48</f>
        <v>53.841735650131497</v>
      </c>
      <c r="G48" s="22">
        <f t="shared" si="5"/>
        <v>10704.973968736624</v>
      </c>
      <c r="H48" s="33">
        <f t="shared" si="2"/>
        <v>4.6358072315802841E-3</v>
      </c>
      <c r="I48" s="33">
        <f t="shared" si="3"/>
        <v>1.3907421694740851E-3</v>
      </c>
      <c r="J48" s="76">
        <f t="shared" si="4"/>
        <v>3.6618458543408909E-3</v>
      </c>
      <c r="K48" s="69">
        <v>3.6618458543408909E-3</v>
      </c>
      <c r="L48" s="69">
        <f t="shared" si="6"/>
        <v>0</v>
      </c>
      <c r="N48" s="77"/>
    </row>
    <row r="49" spans="1:14" x14ac:dyDescent="0.25">
      <c r="A49" s="20">
        <v>45</v>
      </c>
      <c r="B49" s="74" t="s">
        <v>284</v>
      </c>
      <c r="C49" s="22">
        <f>'[1]Participaciones  Tabla I'!C49</f>
        <v>2677</v>
      </c>
      <c r="D49" s="24">
        <f t="shared" si="0"/>
        <v>1.1534328522839004E-3</v>
      </c>
      <c r="E49" s="24">
        <f t="shared" si="1"/>
        <v>8.0740299659873022E-4</v>
      </c>
      <c r="F49" s="75">
        <f>'[1]Participaciones  Tabla I'!X49</f>
        <v>54.674296035061403</v>
      </c>
      <c r="G49" s="22">
        <f t="shared" si="5"/>
        <v>3481.2310252588718</v>
      </c>
      <c r="H49" s="33">
        <f t="shared" si="2"/>
        <v>1.5075530317801727E-3</v>
      </c>
      <c r="I49" s="33">
        <f t="shared" si="3"/>
        <v>4.5226590953405179E-4</v>
      </c>
      <c r="J49" s="76">
        <f t="shared" si="4"/>
        <v>1.2596689061327819E-3</v>
      </c>
      <c r="K49" s="69">
        <v>1.2596689061327819E-3</v>
      </c>
      <c r="L49" s="69">
        <f t="shared" si="6"/>
        <v>0</v>
      </c>
      <c r="N49" s="77"/>
    </row>
    <row r="50" spans="1:14" x14ac:dyDescent="0.25">
      <c r="A50" s="20">
        <v>46</v>
      </c>
      <c r="B50" s="74" t="s">
        <v>285</v>
      </c>
      <c r="C50" s="22">
        <f>'[1]Participaciones  Tabla I'!C50</f>
        <v>3296</v>
      </c>
      <c r="D50" s="24">
        <f t="shared" si="0"/>
        <v>1.4201399630660201E-3</v>
      </c>
      <c r="E50" s="24">
        <f t="shared" si="1"/>
        <v>9.9409797414621399E-4</v>
      </c>
      <c r="F50" s="75">
        <f>'[1]Participaciones  Tabla I'!X50</f>
        <v>51.863235698255899</v>
      </c>
      <c r="G50" s="22">
        <f t="shared" si="5"/>
        <v>5635.2136601726652</v>
      </c>
      <c r="H50" s="33">
        <f t="shared" si="2"/>
        <v>2.440338884860596E-3</v>
      </c>
      <c r="I50" s="33">
        <f t="shared" si="3"/>
        <v>7.3210166545817877E-4</v>
      </c>
      <c r="J50" s="76">
        <f t="shared" si="4"/>
        <v>1.7261996396043928E-3</v>
      </c>
      <c r="K50" s="69">
        <v>1.7261996396043928E-3</v>
      </c>
      <c r="L50" s="69">
        <f t="shared" si="6"/>
        <v>0</v>
      </c>
      <c r="N50" s="77"/>
    </row>
    <row r="51" spans="1:14" x14ac:dyDescent="0.25">
      <c r="A51" s="20">
        <v>47</v>
      </c>
      <c r="B51" s="74" t="s">
        <v>286</v>
      </c>
      <c r="C51" s="22">
        <f>'[1]Participaciones  Tabla I'!C51</f>
        <v>5968</v>
      </c>
      <c r="D51" s="24">
        <f t="shared" si="0"/>
        <v>2.5714184768137159E-3</v>
      </c>
      <c r="E51" s="24">
        <f t="shared" si="1"/>
        <v>1.799992933769601E-3</v>
      </c>
      <c r="F51" s="75">
        <f>'[1]Participaciones  Tabla I'!X51</f>
        <v>51.998224769065899</v>
      </c>
      <c r="G51" s="22">
        <f t="shared" si="5"/>
        <v>10086.268970588053</v>
      </c>
      <c r="H51" s="33">
        <f t="shared" si="2"/>
        <v>4.3678759770991015E-3</v>
      </c>
      <c r="I51" s="33">
        <f t="shared" si="3"/>
        <v>1.3103627931297303E-3</v>
      </c>
      <c r="J51" s="76">
        <f t="shared" si="4"/>
        <v>3.1103557268993311E-3</v>
      </c>
      <c r="K51" s="69">
        <v>3.1103557268993311E-3</v>
      </c>
      <c r="L51" s="69">
        <f t="shared" si="6"/>
        <v>0</v>
      </c>
      <c r="N51" s="77"/>
    </row>
    <row r="52" spans="1:14" x14ac:dyDescent="0.25">
      <c r="A52" s="20">
        <v>48</v>
      </c>
      <c r="B52" s="74" t="s">
        <v>287</v>
      </c>
      <c r="C52" s="22">
        <f>'[1]Participaciones  Tabla I'!C52</f>
        <v>23991</v>
      </c>
      <c r="D52" s="24">
        <f t="shared" si="0"/>
        <v>1.0336947164416532E-2</v>
      </c>
      <c r="E52" s="24">
        <f t="shared" si="1"/>
        <v>7.2358630150915716E-3</v>
      </c>
      <c r="F52" s="75">
        <f>'[1]Participaciones  Tabla I'!X52</f>
        <v>53.775413786012997</v>
      </c>
      <c r="G52" s="22">
        <f t="shared" si="5"/>
        <v>34338.312368381339</v>
      </c>
      <c r="H52" s="33">
        <f t="shared" si="2"/>
        <v>1.4870264725771366E-2</v>
      </c>
      <c r="I52" s="33">
        <f t="shared" si="3"/>
        <v>4.46107941773141E-3</v>
      </c>
      <c r="J52" s="76">
        <f t="shared" si="4"/>
        <v>1.1696942432822981E-2</v>
      </c>
      <c r="K52" s="69">
        <v>1.1696942432822981E-2</v>
      </c>
      <c r="L52" s="69">
        <f t="shared" si="6"/>
        <v>0</v>
      </c>
      <c r="N52" s="77"/>
    </row>
    <row r="53" spans="1:14" x14ac:dyDescent="0.25">
      <c r="A53" s="20">
        <v>49</v>
      </c>
      <c r="B53" s="74" t="s">
        <v>288</v>
      </c>
      <c r="C53" s="22">
        <f>'[1]Participaciones  Tabla I'!C53</f>
        <v>3965</v>
      </c>
      <c r="D53" s="24">
        <f t="shared" si="0"/>
        <v>1.708390459210185E-3</v>
      </c>
      <c r="E53" s="24">
        <f t="shared" si="1"/>
        <v>1.1958733214471294E-3</v>
      </c>
      <c r="F53" s="75">
        <f>'[1]Participaciones  Tabla I'!X53</f>
        <v>46.505398692223501</v>
      </c>
      <c r="G53" s="22">
        <f t="shared" si="5"/>
        <v>9872.1123133845995</v>
      </c>
      <c r="H53" s="33">
        <f t="shared" si="2"/>
        <v>4.2751350715112667E-3</v>
      </c>
      <c r="I53" s="33">
        <f t="shared" si="3"/>
        <v>1.28254052145338E-3</v>
      </c>
      <c r="J53" s="76">
        <f t="shared" si="4"/>
        <v>2.4784138429005094E-3</v>
      </c>
      <c r="K53" s="69">
        <v>2.4784138429005094E-3</v>
      </c>
      <c r="L53" s="69">
        <f t="shared" si="6"/>
        <v>0</v>
      </c>
      <c r="N53" s="77"/>
    </row>
    <row r="54" spans="1:14" x14ac:dyDescent="0.25">
      <c r="A54" s="20">
        <v>50</v>
      </c>
      <c r="B54" s="79" t="s">
        <v>289</v>
      </c>
      <c r="C54" s="22">
        <f>'[1]Participaciones  Tabla I'!C54</f>
        <v>995129</v>
      </c>
      <c r="D54" s="24">
        <f t="shared" si="0"/>
        <v>0.42876895063893372</v>
      </c>
      <c r="E54" s="24">
        <f t="shared" si="1"/>
        <v>0.30013826544725358</v>
      </c>
      <c r="F54" s="75">
        <f>'[1]Participaciones  Tabla I'!X54</f>
        <v>59.913620287915698</v>
      </c>
      <c r="G54" s="22">
        <f t="shared" si="5"/>
        <v>534958.34906737937</v>
      </c>
      <c r="H54" s="33">
        <f t="shared" si="2"/>
        <v>0.23166462528946127</v>
      </c>
      <c r="I54" s="33">
        <f t="shared" si="3"/>
        <v>6.9499387586838379E-2</v>
      </c>
      <c r="J54" s="76">
        <f t="shared" si="4"/>
        <v>0.36963765303409196</v>
      </c>
      <c r="K54" s="69">
        <v>0.36963765303409196</v>
      </c>
      <c r="L54" s="69">
        <f t="shared" si="6"/>
        <v>0</v>
      </c>
      <c r="N54" s="77"/>
    </row>
    <row r="55" spans="1:14" x14ac:dyDescent="0.25">
      <c r="A55" s="20">
        <v>51</v>
      </c>
      <c r="B55" s="74" t="s">
        <v>290</v>
      </c>
      <c r="C55" s="22">
        <f>'[1]Participaciones  Tabla I'!C55</f>
        <v>3430</v>
      </c>
      <c r="D55" s="24">
        <f t="shared" si="0"/>
        <v>1.4778762358363014E-3</v>
      </c>
      <c r="E55" s="24">
        <f t="shared" si="1"/>
        <v>1.0345133650854108E-3</v>
      </c>
      <c r="F55" s="75">
        <f>'[1]Participaciones  Tabla I'!X55</f>
        <v>55.489157746076998</v>
      </c>
      <c r="G55" s="22">
        <f t="shared" si="5"/>
        <v>4053.5007083471742</v>
      </c>
      <c r="H55" s="33">
        <f t="shared" si="2"/>
        <v>1.7553753938917176E-3</v>
      </c>
      <c r="I55" s="33">
        <f t="shared" si="3"/>
        <v>5.2661261816751531E-4</v>
      </c>
      <c r="J55" s="76">
        <f t="shared" si="4"/>
        <v>1.5611259832529261E-3</v>
      </c>
      <c r="K55" s="69">
        <v>1.5611259832529261E-3</v>
      </c>
      <c r="L55" s="69">
        <f t="shared" si="6"/>
        <v>0</v>
      </c>
      <c r="N55" s="77"/>
    </row>
    <row r="56" spans="1:14" x14ac:dyDescent="0.25">
      <c r="A56" s="20">
        <v>52</v>
      </c>
      <c r="B56" s="79" t="s">
        <v>291</v>
      </c>
      <c r="C56" s="22">
        <f>'[1]Participaciones  Tabla I'!C56</f>
        <v>37804</v>
      </c>
      <c r="D56" s="24">
        <f t="shared" si="0"/>
        <v>1.628852280453514E-2</v>
      </c>
      <c r="E56" s="24">
        <f t="shared" si="1"/>
        <v>1.1401965963174597E-2</v>
      </c>
      <c r="F56" s="75">
        <f>'[1]Participaciones  Tabla I'!X56</f>
        <v>55.383877812184501</v>
      </c>
      <c r="G56" s="22">
        <f t="shared" si="5"/>
        <v>45255.44779219856</v>
      </c>
      <c r="H56" s="33">
        <f t="shared" si="2"/>
        <v>1.9597948837257906E-2</v>
      </c>
      <c r="I56" s="33">
        <f t="shared" si="3"/>
        <v>5.8793846511773712E-3</v>
      </c>
      <c r="J56" s="76">
        <f t="shared" si="4"/>
        <v>1.7281350614351969E-2</v>
      </c>
      <c r="K56" s="69">
        <v>1.7281350614351969E-2</v>
      </c>
      <c r="L56" s="69">
        <f t="shared" si="6"/>
        <v>0</v>
      </c>
      <c r="N56" s="77"/>
    </row>
    <row r="57" spans="1:14" x14ac:dyDescent="0.25">
      <c r="A57" s="20">
        <v>53</v>
      </c>
      <c r="B57" s="74" t="s">
        <v>292</v>
      </c>
      <c r="C57" s="22">
        <f>'[1]Participaciones  Tabla I'!C57</f>
        <v>13494</v>
      </c>
      <c r="D57" s="24">
        <f t="shared" si="0"/>
        <v>5.8141288415087611E-3</v>
      </c>
      <c r="E57" s="24">
        <f t="shared" si="1"/>
        <v>4.0698901890561323E-3</v>
      </c>
      <c r="F57" s="75">
        <f>'[1]Participaciones  Tabla I'!X57</f>
        <v>55.289821135970499</v>
      </c>
      <c r="G57" s="22">
        <f t="shared" si="5"/>
        <v>16338.562762880752</v>
      </c>
      <c r="H57" s="33">
        <f t="shared" si="2"/>
        <v>7.0754424654364554E-3</v>
      </c>
      <c r="I57" s="33">
        <f t="shared" si="3"/>
        <v>2.1226327396309365E-3</v>
      </c>
      <c r="J57" s="76">
        <f t="shared" si="4"/>
        <v>6.1925229286870689E-3</v>
      </c>
      <c r="K57" s="69">
        <v>6.1925229286870689E-3</v>
      </c>
      <c r="L57" s="69">
        <f t="shared" si="6"/>
        <v>0</v>
      </c>
      <c r="N57" s="77"/>
    </row>
    <row r="58" spans="1:14" x14ac:dyDescent="0.25">
      <c r="A58" s="20">
        <v>54</v>
      </c>
      <c r="B58" s="74" t="s">
        <v>293</v>
      </c>
      <c r="C58" s="22">
        <f>'[1]Participaciones  Tabla I'!C58</f>
        <v>2990</v>
      </c>
      <c r="D58" s="24">
        <f t="shared" si="0"/>
        <v>1.2882944446503035E-3</v>
      </c>
      <c r="E58" s="24">
        <f t="shared" si="1"/>
        <v>9.018061112552124E-4</v>
      </c>
      <c r="F58" s="75">
        <f>'[1]Participaciones  Tabla I'!X58</f>
        <v>53.925003128932701</v>
      </c>
      <c r="G58" s="22">
        <f t="shared" si="5"/>
        <v>4214.4634378379196</v>
      </c>
      <c r="H58" s="33">
        <f t="shared" si="2"/>
        <v>1.8250805783758012E-3</v>
      </c>
      <c r="I58" s="33">
        <f t="shared" si="3"/>
        <v>5.4752417351274039E-4</v>
      </c>
      <c r="J58" s="76">
        <f t="shared" si="4"/>
        <v>1.4493302847679527E-3</v>
      </c>
      <c r="K58" s="69">
        <v>1.4493302847679527E-3</v>
      </c>
      <c r="L58" s="69">
        <f t="shared" si="6"/>
        <v>0</v>
      </c>
      <c r="N58" s="77"/>
    </row>
    <row r="59" spans="1:14" x14ac:dyDescent="0.25">
      <c r="A59" s="20">
        <v>55</v>
      </c>
      <c r="B59" s="74" t="s">
        <v>294</v>
      </c>
      <c r="C59" s="22">
        <f>'[1]Participaciones  Tabla I'!C59</f>
        <v>7080</v>
      </c>
      <c r="D59" s="24">
        <f t="shared" si="0"/>
        <v>3.0505433672656014E-3</v>
      </c>
      <c r="E59" s="24">
        <f t="shared" si="1"/>
        <v>2.1353803570859208E-3</v>
      </c>
      <c r="F59" s="75">
        <f>'[1]Participaciones  Tabla I'!X59</f>
        <v>53.747974986357903</v>
      </c>
      <c r="G59" s="22">
        <f t="shared" si="5"/>
        <v>10161.887481262924</v>
      </c>
      <c r="H59" s="33">
        <f t="shared" si="2"/>
        <v>4.4006227020936383E-3</v>
      </c>
      <c r="I59" s="33">
        <f t="shared" si="3"/>
        <v>1.3201868106280914E-3</v>
      </c>
      <c r="J59" s="76">
        <f t="shared" si="4"/>
        <v>3.4555671677140125E-3</v>
      </c>
      <c r="K59" s="69">
        <v>3.4555671677140125E-3</v>
      </c>
      <c r="L59" s="69">
        <f t="shared" si="6"/>
        <v>0</v>
      </c>
      <c r="N59" s="77"/>
    </row>
    <row r="60" spans="1:14" x14ac:dyDescent="0.25">
      <c r="A60" s="20">
        <v>56</v>
      </c>
      <c r="B60" s="74" t="s">
        <v>295</v>
      </c>
      <c r="C60" s="22">
        <f>'[1]Participaciones  Tabla I'!C60</f>
        <v>33854</v>
      </c>
      <c r="D60" s="24">
        <f t="shared" si="0"/>
        <v>1.458659536093357E-2</v>
      </c>
      <c r="E60" s="24">
        <f t="shared" si="1"/>
        <v>1.0210616752653499E-2</v>
      </c>
      <c r="F60" s="75">
        <f>'[1]Participaciones  Tabla I'!X60</f>
        <v>53.498647106860702</v>
      </c>
      <c r="G60" s="22">
        <f t="shared" si="5"/>
        <v>49819.444202935534</v>
      </c>
      <c r="H60" s="33">
        <f t="shared" si="2"/>
        <v>2.1574395265580977E-2</v>
      </c>
      <c r="I60" s="33">
        <f t="shared" si="3"/>
        <v>6.4723185796742933E-3</v>
      </c>
      <c r="J60" s="76">
        <f t="shared" si="4"/>
        <v>1.6682935332327793E-2</v>
      </c>
      <c r="K60" s="69">
        <v>1.6682935332327793E-2</v>
      </c>
      <c r="L60" s="69">
        <f t="shared" si="6"/>
        <v>0</v>
      </c>
      <c r="N60" s="77"/>
    </row>
    <row r="61" spans="1:14" x14ac:dyDescent="0.25">
      <c r="A61" s="20">
        <v>57</v>
      </c>
      <c r="B61" s="74" t="s">
        <v>296</v>
      </c>
      <c r="C61" s="22">
        <f>'[1]Participaciones  Tabla I'!C61</f>
        <v>7766</v>
      </c>
      <c r="D61" s="24">
        <f t="shared" si="0"/>
        <v>3.3461186144328617E-3</v>
      </c>
      <c r="E61" s="24">
        <f t="shared" si="1"/>
        <v>2.3422830301030031E-3</v>
      </c>
      <c r="F61" s="75">
        <f>'[1]Participaciones  Tabla I'!X61</f>
        <v>54.5529252086478</v>
      </c>
      <c r="G61" s="22">
        <f t="shared" si="5"/>
        <v>10236.318699995747</v>
      </c>
      <c r="H61" s="33">
        <f t="shared" si="2"/>
        <v>4.4328552682880683E-3</v>
      </c>
      <c r="I61" s="33">
        <f t="shared" si="3"/>
        <v>1.3298565804864204E-3</v>
      </c>
      <c r="J61" s="76">
        <f t="shared" si="4"/>
        <v>3.6721396105894233E-3</v>
      </c>
      <c r="K61" s="69">
        <v>3.6721396105894233E-3</v>
      </c>
      <c r="L61" s="69">
        <f t="shared" si="6"/>
        <v>0</v>
      </c>
      <c r="N61" s="77"/>
    </row>
    <row r="62" spans="1:14" x14ac:dyDescent="0.25">
      <c r="A62" s="20">
        <v>58</v>
      </c>
      <c r="B62" s="74" t="s">
        <v>297</v>
      </c>
      <c r="C62" s="22">
        <f>'[1]Participaciones  Tabla I'!C62</f>
        <v>25954</v>
      </c>
      <c r="D62" s="24">
        <f t="shared" si="0"/>
        <v>1.1182740473730426E-2</v>
      </c>
      <c r="E62" s="24">
        <f t="shared" si="1"/>
        <v>7.8279183316112989E-3</v>
      </c>
      <c r="F62" s="75">
        <f>'[1]Participaciones  Tabla I'!X62</f>
        <v>53.432239749830401</v>
      </c>
      <c r="G62" s="22">
        <f t="shared" si="5"/>
        <v>38444.774971990453</v>
      </c>
      <c r="H62" s="33">
        <f t="shared" si="2"/>
        <v>1.6648575358718359E-2</v>
      </c>
      <c r="I62" s="33">
        <f t="shared" si="3"/>
        <v>4.9945726076155075E-3</v>
      </c>
      <c r="J62" s="76">
        <f t="shared" si="4"/>
        <v>1.2822490939226806E-2</v>
      </c>
      <c r="K62" s="69">
        <v>1.2822490939226806E-2</v>
      </c>
      <c r="L62" s="69">
        <f t="shared" si="6"/>
        <v>0</v>
      </c>
      <c r="N62" s="77"/>
    </row>
    <row r="63" spans="1:14" x14ac:dyDescent="0.25">
      <c r="A63" s="20">
        <v>59</v>
      </c>
      <c r="B63" s="79" t="s">
        <v>298</v>
      </c>
      <c r="C63" s="22">
        <f>'[1]Participaciones  Tabla I'!C63</f>
        <v>66008</v>
      </c>
      <c r="D63" s="24">
        <f t="shared" si="0"/>
        <v>2.8440715619557601E-2</v>
      </c>
      <c r="E63" s="24">
        <f t="shared" si="1"/>
        <v>1.9908500933690319E-2</v>
      </c>
      <c r="F63" s="75">
        <f>'[1]Participaciones  Tabla I'!X63</f>
        <v>57.637201221370603</v>
      </c>
      <c r="G63" s="22">
        <f t="shared" si="5"/>
        <v>57362.5033311343</v>
      </c>
      <c r="H63" s="33">
        <f t="shared" si="2"/>
        <v>2.4840929883681348E-2</v>
      </c>
      <c r="I63" s="33">
        <f t="shared" si="3"/>
        <v>7.4522789651044041E-3</v>
      </c>
      <c r="J63" s="76">
        <f t="shared" si="4"/>
        <v>2.7360779898794721E-2</v>
      </c>
      <c r="K63" s="69">
        <v>2.7360779898794721E-2</v>
      </c>
      <c r="L63" s="69">
        <f t="shared" si="6"/>
        <v>0</v>
      </c>
      <c r="N63" s="77"/>
    </row>
    <row r="64" spans="1:14" x14ac:dyDescent="0.25">
      <c r="A64" s="20">
        <v>60</v>
      </c>
      <c r="B64" s="74" t="s">
        <v>299</v>
      </c>
      <c r="C64" s="22">
        <f>'[1]Participaciones  Tabla I'!C64</f>
        <v>976</v>
      </c>
      <c r="D64" s="24">
        <f t="shared" si="0"/>
        <v>4.2052688226712248E-4</v>
      </c>
      <c r="E64" s="24">
        <f t="shared" si="1"/>
        <v>2.9436881758698573E-4</v>
      </c>
      <c r="F64" s="75">
        <f>'[1]Participaciones  Tabla I'!X64</f>
        <v>53.360424298096497</v>
      </c>
      <c r="G64" s="22">
        <f t="shared" si="5"/>
        <v>1455.9208888644173</v>
      </c>
      <c r="H64" s="33">
        <f t="shared" si="2"/>
        <v>6.3048902359946659E-4</v>
      </c>
      <c r="I64" s="33">
        <f t="shared" si="3"/>
        <v>1.8914670707983997E-4</v>
      </c>
      <c r="J64" s="76">
        <f t="shared" si="4"/>
        <v>4.8351552466682573E-4</v>
      </c>
      <c r="K64" s="69">
        <v>4.8351552466682573E-4</v>
      </c>
      <c r="L64" s="69">
        <f t="shared" si="6"/>
        <v>0</v>
      </c>
      <c r="N64" s="77"/>
    </row>
    <row r="65" spans="1:14" x14ac:dyDescent="0.25">
      <c r="A65" s="20">
        <v>61</v>
      </c>
      <c r="B65" s="74" t="s">
        <v>300</v>
      </c>
      <c r="C65" s="22">
        <f>'[1]Participaciones  Tabla I'!C65</f>
        <v>3974</v>
      </c>
      <c r="D65" s="24">
        <f t="shared" si="0"/>
        <v>1.7122682685753532E-3</v>
      </c>
      <c r="E65" s="24">
        <f t="shared" si="1"/>
        <v>1.1985877880027471E-3</v>
      </c>
      <c r="F65" s="75">
        <f>'[1]Participaciones  Tabla I'!X65</f>
        <v>54.185868028603402</v>
      </c>
      <c r="G65" s="22">
        <f t="shared" si="5"/>
        <v>5450.4904821504551</v>
      </c>
      <c r="H65" s="33">
        <f t="shared" si="2"/>
        <v>2.3603441976229851E-3</v>
      </c>
      <c r="I65" s="33">
        <f t="shared" si="3"/>
        <v>7.0810325928689552E-4</v>
      </c>
      <c r="J65" s="76">
        <f t="shared" si="4"/>
        <v>1.9066910472896425E-3</v>
      </c>
      <c r="K65" s="69">
        <v>1.9066910472896425E-3</v>
      </c>
      <c r="L65" s="69">
        <f t="shared" si="6"/>
        <v>0</v>
      </c>
      <c r="N65" s="77"/>
    </row>
    <row r="66" spans="1:14" x14ac:dyDescent="0.25">
      <c r="A66" s="20">
        <v>62</v>
      </c>
      <c r="B66" s="74" t="s">
        <v>301</v>
      </c>
      <c r="C66" s="22">
        <f>'[1]Participaciones  Tabla I'!C66</f>
        <v>4962</v>
      </c>
      <c r="D66" s="24">
        <f t="shared" si="0"/>
        <v>2.1379655633293666E-3</v>
      </c>
      <c r="E66" s="24">
        <f t="shared" si="1"/>
        <v>1.4965758943305564E-3</v>
      </c>
      <c r="F66" s="75">
        <f>'[1]Participaciones  Tabla I'!X66</f>
        <v>53.861120986884899</v>
      </c>
      <c r="G66" s="22">
        <f t="shared" si="5"/>
        <v>7040.1887317440269</v>
      </c>
      <c r="H66" s="33">
        <f t="shared" si="2"/>
        <v>3.0487657354070826E-3</v>
      </c>
      <c r="I66" s="33">
        <f t="shared" si="3"/>
        <v>9.1462972062212472E-4</v>
      </c>
      <c r="J66" s="76">
        <f t="shared" si="4"/>
        <v>2.4112056149526813E-3</v>
      </c>
      <c r="K66" s="69">
        <v>2.4112056149526813E-3</v>
      </c>
      <c r="L66" s="69">
        <f t="shared" si="6"/>
        <v>0</v>
      </c>
      <c r="N66" s="77"/>
    </row>
    <row r="67" spans="1:14" x14ac:dyDescent="0.25">
      <c r="A67" s="20">
        <v>63</v>
      </c>
      <c r="B67" s="74" t="s">
        <v>302</v>
      </c>
      <c r="C67" s="22">
        <f>'[1]Participaciones  Tabla I'!C67</f>
        <v>5631</v>
      </c>
      <c r="D67" s="24">
        <f t="shared" si="0"/>
        <v>2.4262160594735313E-3</v>
      </c>
      <c r="E67" s="24">
        <f t="shared" si="1"/>
        <v>1.6983512416314718E-3</v>
      </c>
      <c r="F67" s="75">
        <f>'[1]Participaciones  Tabla I'!X67</f>
        <v>53.765815015636697</v>
      </c>
      <c r="G67" s="22">
        <f t="shared" si="5"/>
        <v>8067.5186861958764</v>
      </c>
      <c r="H67" s="33">
        <f t="shared" si="2"/>
        <v>3.4936527240140235E-3</v>
      </c>
      <c r="I67" s="33">
        <f t="shared" si="3"/>
        <v>1.0480958172042071E-3</v>
      </c>
      <c r="J67" s="76">
        <f t="shared" si="4"/>
        <v>2.7464470588356789E-3</v>
      </c>
      <c r="K67" s="69">
        <v>2.7464470588356789E-3</v>
      </c>
      <c r="L67" s="69">
        <f t="shared" si="6"/>
        <v>0</v>
      </c>
      <c r="N67" s="77"/>
    </row>
    <row r="68" spans="1:14" x14ac:dyDescent="0.25">
      <c r="A68" s="20">
        <v>64</v>
      </c>
      <c r="B68" s="74" t="s">
        <v>303</v>
      </c>
      <c r="C68" s="22">
        <f>'[1]Participaciones  Tabla I'!C68</f>
        <v>1701</v>
      </c>
      <c r="D68" s="24">
        <f t="shared" si="0"/>
        <v>7.3290597001677801E-4</v>
      </c>
      <c r="E68" s="24">
        <f t="shared" si="1"/>
        <v>5.1303417901174455E-4</v>
      </c>
      <c r="F68" s="75">
        <f>'[1]Participaciones  Tabla I'!X68</f>
        <v>53.841807072409097</v>
      </c>
      <c r="G68" s="22">
        <f t="shared" si="5"/>
        <v>2418.1975463275548</v>
      </c>
      <c r="H68" s="33">
        <f t="shared" si="2"/>
        <v>1.0472045710147571E-3</v>
      </c>
      <c r="I68" s="33">
        <f t="shared" si="3"/>
        <v>3.1416137130442712E-4</v>
      </c>
      <c r="J68" s="76">
        <f t="shared" si="4"/>
        <v>8.2719555031617173E-4</v>
      </c>
      <c r="K68" s="69">
        <v>8.2719555031617173E-4</v>
      </c>
      <c r="L68" s="69">
        <f t="shared" si="6"/>
        <v>0</v>
      </c>
      <c r="N68" s="77"/>
    </row>
    <row r="69" spans="1:14" x14ac:dyDescent="0.25">
      <c r="A69" s="20">
        <v>65</v>
      </c>
      <c r="B69" s="74" t="s">
        <v>304</v>
      </c>
      <c r="C69" s="22">
        <f>'[1]Participaciones  Tabla I'!C69</f>
        <v>2118</v>
      </c>
      <c r="D69" s="24">
        <f t="shared" ref="D69:D110" si="7">C69/$C$111</f>
        <v>9.1257780393623499E-4</v>
      </c>
      <c r="E69" s="24">
        <f t="shared" ref="E69:E110" si="8">D69*0.7</f>
        <v>6.388044627553645E-4</v>
      </c>
      <c r="F69" s="75">
        <f>'[1]Participaciones  Tabla I'!X69</f>
        <v>55.898255398957801</v>
      </c>
      <c r="G69" s="22">
        <f t="shared" si="5"/>
        <v>2376.8492814650704</v>
      </c>
      <c r="H69" s="33">
        <f t="shared" ref="H69:H110" si="9">G69/$G$111</f>
        <v>1.0292986344078486E-3</v>
      </c>
      <c r="I69" s="33">
        <f t="shared" ref="I69:I110" si="10">H69*0.3</f>
        <v>3.087895903223546E-4</v>
      </c>
      <c r="J69" s="76">
        <f t="shared" ref="J69:J110" si="11">+E69+I69</f>
        <v>9.4759405307771904E-4</v>
      </c>
      <c r="K69" s="69">
        <v>9.4759405307771904E-4</v>
      </c>
      <c r="L69" s="69">
        <f t="shared" si="6"/>
        <v>0</v>
      </c>
      <c r="N69" s="77"/>
    </row>
    <row r="70" spans="1:14" x14ac:dyDescent="0.25">
      <c r="A70" s="20">
        <v>66</v>
      </c>
      <c r="B70" s="74" t="s">
        <v>305</v>
      </c>
      <c r="C70" s="22">
        <f>'[1]Participaciones  Tabla I'!C70</f>
        <v>4220</v>
      </c>
      <c r="D70" s="24">
        <f t="shared" si="7"/>
        <v>1.8182617245566155E-3</v>
      </c>
      <c r="E70" s="24">
        <f t="shared" si="8"/>
        <v>1.2727832071896307E-3</v>
      </c>
      <c r="F70" s="75">
        <f>'[1]Participaciones  Tabla I'!X70</f>
        <v>51.8906868964079</v>
      </c>
      <c r="G70" s="22">
        <f t="shared" ref="G70:G110" si="12">C70*(9.261-0.1456*F70)</f>
        <v>7198.1214688662976</v>
      </c>
      <c r="H70" s="33">
        <f t="shared" si="9"/>
        <v>3.1171587765291709E-3</v>
      </c>
      <c r="I70" s="33">
        <f t="shared" si="10"/>
        <v>9.3514763295875127E-4</v>
      </c>
      <c r="J70" s="76">
        <f t="shared" si="11"/>
        <v>2.2079308401483817E-3</v>
      </c>
      <c r="K70" s="69">
        <v>2.2079308401483817E-3</v>
      </c>
      <c r="L70" s="69">
        <f t="shared" ref="L70:L110" si="13">K70-J70</f>
        <v>0</v>
      </c>
      <c r="N70" s="77"/>
    </row>
    <row r="71" spans="1:14" x14ac:dyDescent="0.25">
      <c r="A71" s="20">
        <v>67</v>
      </c>
      <c r="B71" s="74" t="s">
        <v>306</v>
      </c>
      <c r="C71" s="22">
        <f>'[1]Participaciones  Tabla I'!C71</f>
        <v>10053</v>
      </c>
      <c r="D71" s="24">
        <f t="shared" si="7"/>
        <v>4.3315130608928094E-3</v>
      </c>
      <c r="E71" s="24">
        <f t="shared" si="8"/>
        <v>3.0320591426249662E-3</v>
      </c>
      <c r="F71" s="75">
        <f>'[1]Participaciones  Tabla I'!X71</f>
        <v>55.445318645896997</v>
      </c>
      <c r="G71" s="22">
        <f t="shared" si="12"/>
        <v>11944.588616647296</v>
      </c>
      <c r="H71" s="33">
        <f t="shared" si="9"/>
        <v>5.172624468683322E-3</v>
      </c>
      <c r="I71" s="33">
        <f t="shared" si="10"/>
        <v>1.5517873406049965E-3</v>
      </c>
      <c r="J71" s="76">
        <f t="shared" si="11"/>
        <v>4.5838464832299629E-3</v>
      </c>
      <c r="K71" s="69">
        <v>4.5838464832299629E-3</v>
      </c>
      <c r="L71" s="69">
        <f t="shared" si="13"/>
        <v>0</v>
      </c>
      <c r="N71" s="77"/>
    </row>
    <row r="72" spans="1:14" x14ac:dyDescent="0.25">
      <c r="A72" s="20">
        <v>68</v>
      </c>
      <c r="B72" s="74" t="s">
        <v>307</v>
      </c>
      <c r="C72" s="22">
        <f>'[1]Participaciones  Tabla I'!C72</f>
        <v>3206</v>
      </c>
      <c r="D72" s="24">
        <f t="shared" si="7"/>
        <v>1.3813618694143387E-3</v>
      </c>
      <c r="E72" s="24">
        <f t="shared" si="8"/>
        <v>9.6695330859003698E-4</v>
      </c>
      <c r="F72" s="75">
        <f>'[1]Participaciones  Tabla I'!X72</f>
        <v>54.318587521295797</v>
      </c>
      <c r="G72" s="22">
        <f t="shared" si="12"/>
        <v>4335.196984019256</v>
      </c>
      <c r="H72" s="33">
        <f t="shared" si="9"/>
        <v>1.8773644464278245E-3</v>
      </c>
      <c r="I72" s="33">
        <f t="shared" si="10"/>
        <v>5.6320933392834728E-4</v>
      </c>
      <c r="J72" s="76">
        <f t="shared" si="11"/>
        <v>1.5301626425183843E-3</v>
      </c>
      <c r="K72" s="69">
        <v>1.5301626425183843E-3</v>
      </c>
      <c r="L72" s="69">
        <f t="shared" si="13"/>
        <v>0</v>
      </c>
      <c r="N72" s="77"/>
    </row>
    <row r="73" spans="1:14" x14ac:dyDescent="0.25">
      <c r="A73" s="20">
        <v>69</v>
      </c>
      <c r="B73" s="74" t="s">
        <v>308</v>
      </c>
      <c r="C73" s="22">
        <f>'[1]Participaciones  Tabla I'!C73</f>
        <v>8967</v>
      </c>
      <c r="D73" s="24">
        <f t="shared" si="7"/>
        <v>3.8635907308291876E-3</v>
      </c>
      <c r="E73" s="24">
        <f t="shared" si="8"/>
        <v>2.7045135115804312E-3</v>
      </c>
      <c r="F73" s="75">
        <f>'[1]Participaciones  Tabla I'!X73</f>
        <v>52.165796274229599</v>
      </c>
      <c r="G73" s="22">
        <f t="shared" si="12"/>
        <v>14935.973780187944</v>
      </c>
      <c r="H73" s="33">
        <f t="shared" si="9"/>
        <v>6.4680489147476514E-3</v>
      </c>
      <c r="I73" s="33">
        <f t="shared" si="10"/>
        <v>1.9404146744242954E-3</v>
      </c>
      <c r="J73" s="76">
        <f t="shared" si="11"/>
        <v>4.6449281860047268E-3</v>
      </c>
      <c r="K73" s="69">
        <v>4.6449281860047268E-3</v>
      </c>
      <c r="L73" s="69">
        <f t="shared" si="13"/>
        <v>0</v>
      </c>
      <c r="N73" s="77"/>
    </row>
    <row r="74" spans="1:14" x14ac:dyDescent="0.25">
      <c r="A74" s="20">
        <v>70</v>
      </c>
      <c r="B74" s="74" t="s">
        <v>309</v>
      </c>
      <c r="C74" s="22">
        <f>'[1]Participaciones  Tabla I'!C74</f>
        <v>3971</v>
      </c>
      <c r="D74" s="24">
        <f t="shared" si="7"/>
        <v>1.7109756654536303E-3</v>
      </c>
      <c r="E74" s="24">
        <f t="shared" si="8"/>
        <v>1.1976829658175412E-3</v>
      </c>
      <c r="F74" s="75">
        <f>'[1]Participaciones  Tabla I'!X74</f>
        <v>54.558086766794098</v>
      </c>
      <c r="G74" s="22">
        <f t="shared" si="12"/>
        <v>5231.1673325832244</v>
      </c>
      <c r="H74" s="33">
        <f t="shared" si="9"/>
        <v>2.2653659337069708E-3</v>
      </c>
      <c r="I74" s="33">
        <f t="shared" si="10"/>
        <v>6.7960978011209121E-4</v>
      </c>
      <c r="J74" s="76">
        <f t="shared" si="11"/>
        <v>1.8772927459296323E-3</v>
      </c>
      <c r="K74" s="69">
        <v>1.8772927459296323E-3</v>
      </c>
      <c r="L74" s="69">
        <f t="shared" si="13"/>
        <v>0</v>
      </c>
      <c r="N74" s="77"/>
    </row>
    <row r="75" spans="1:14" x14ac:dyDescent="0.25">
      <c r="A75" s="20">
        <v>71</v>
      </c>
      <c r="B75" s="74" t="s">
        <v>310</v>
      </c>
      <c r="C75" s="22">
        <f>'[1]Participaciones  Tabla I'!C75</f>
        <v>1949</v>
      </c>
      <c r="D75" s="24">
        <f t="shared" si="7"/>
        <v>8.397611614125222E-4</v>
      </c>
      <c r="E75" s="24">
        <f t="shared" si="8"/>
        <v>5.8783281298876555E-4</v>
      </c>
      <c r="F75" s="75">
        <f>'[1]Participaciones  Tabla I'!X75</f>
        <v>52.130863354221503</v>
      </c>
      <c r="G75" s="22">
        <f t="shared" si="12"/>
        <v>3256.2845301738025</v>
      </c>
      <c r="H75" s="33">
        <f t="shared" si="9"/>
        <v>1.4101395684985732E-3</v>
      </c>
      <c r="I75" s="33">
        <f t="shared" si="10"/>
        <v>4.2304187054957197E-4</v>
      </c>
      <c r="J75" s="76">
        <f t="shared" si="11"/>
        <v>1.0108746835383376E-3</v>
      </c>
      <c r="K75" s="69">
        <v>1.0108746835383376E-3</v>
      </c>
      <c r="L75" s="69">
        <f t="shared" si="13"/>
        <v>0</v>
      </c>
      <c r="N75" s="77"/>
    </row>
    <row r="76" spans="1:14" x14ac:dyDescent="0.25">
      <c r="A76" s="20">
        <v>72</v>
      </c>
      <c r="B76" s="79" t="s">
        <v>311</v>
      </c>
      <c r="C76" s="22">
        <f>'[1]Participaciones  Tabla I'!C76</f>
        <v>1857</v>
      </c>
      <c r="D76" s="24">
        <f t="shared" si="7"/>
        <v>8.0012133234635908E-4</v>
      </c>
      <c r="E76" s="24">
        <f t="shared" si="8"/>
        <v>5.600849326424513E-4</v>
      </c>
      <c r="F76" s="75">
        <f>'[1]Participaciones  Tabla I'!X76</f>
        <v>55.370508882856697</v>
      </c>
      <c r="G76" s="22">
        <f t="shared" si="12"/>
        <v>2226.6431046603093</v>
      </c>
      <c r="H76" s="33">
        <f t="shared" si="9"/>
        <v>9.6425159340680292E-4</v>
      </c>
      <c r="I76" s="33">
        <f t="shared" si="10"/>
        <v>2.8927547802204087E-4</v>
      </c>
      <c r="J76" s="76">
        <f t="shared" si="11"/>
        <v>8.4936041066449217E-4</v>
      </c>
      <c r="K76" s="69">
        <v>8.4936041066449217E-4</v>
      </c>
      <c r="L76" s="69">
        <f t="shared" si="13"/>
        <v>0</v>
      </c>
      <c r="N76" s="77"/>
    </row>
    <row r="77" spans="1:14" x14ac:dyDescent="0.25">
      <c r="A77" s="20">
        <v>73</v>
      </c>
      <c r="B77" s="74" t="s">
        <v>312</v>
      </c>
      <c r="C77" s="22">
        <f>'[1]Participaciones  Tabla I'!C77</f>
        <v>5854</v>
      </c>
      <c r="D77" s="24">
        <f t="shared" si="7"/>
        <v>2.522299558188253E-3</v>
      </c>
      <c r="E77" s="24">
        <f t="shared" si="8"/>
        <v>1.7656096907317769E-3</v>
      </c>
      <c r="F77" s="75">
        <f>'[1]Participaciones  Tabla I'!X77</f>
        <v>49.4453324912743</v>
      </c>
      <c r="G77" s="22">
        <f t="shared" si="12"/>
        <v>12069.540635589279</v>
      </c>
      <c r="H77" s="33">
        <f t="shared" si="9"/>
        <v>5.2267351535578007E-3</v>
      </c>
      <c r="I77" s="33">
        <f t="shared" si="10"/>
        <v>1.5680205460673403E-3</v>
      </c>
      <c r="J77" s="76">
        <f t="shared" si="11"/>
        <v>3.3336302367991174E-3</v>
      </c>
      <c r="K77" s="69">
        <v>3.3336302367991174E-3</v>
      </c>
      <c r="L77" s="69">
        <f t="shared" si="13"/>
        <v>0</v>
      </c>
      <c r="N77" s="77"/>
    </row>
    <row r="78" spans="1:14" x14ac:dyDescent="0.25">
      <c r="A78" s="20">
        <v>74</v>
      </c>
      <c r="B78" s="74" t="s">
        <v>313</v>
      </c>
      <c r="C78" s="22">
        <f>'[1]Participaciones  Tabla I'!C78</f>
        <v>3774</v>
      </c>
      <c r="D78" s="24">
        <f t="shared" si="7"/>
        <v>1.6260947271271723E-3</v>
      </c>
      <c r="E78" s="24">
        <f t="shared" si="8"/>
        <v>1.1382663089890205E-3</v>
      </c>
      <c r="F78" s="75">
        <f>'[1]Participaciones  Tabla I'!X78</f>
        <v>53.410734766216201</v>
      </c>
      <c r="G78" s="22">
        <f t="shared" si="12"/>
        <v>5602.1143460788844</v>
      </c>
      <c r="H78" s="33">
        <f t="shared" si="9"/>
        <v>2.4260051704504148E-3</v>
      </c>
      <c r="I78" s="33">
        <f t="shared" si="10"/>
        <v>7.2780155113512444E-4</v>
      </c>
      <c r="J78" s="76">
        <f t="shared" si="11"/>
        <v>1.866067860124145E-3</v>
      </c>
      <c r="K78" s="69">
        <v>1.866067860124145E-3</v>
      </c>
      <c r="L78" s="69">
        <f t="shared" si="13"/>
        <v>0</v>
      </c>
      <c r="N78" s="77"/>
    </row>
    <row r="79" spans="1:14" x14ac:dyDescent="0.25">
      <c r="A79" s="20">
        <v>75</v>
      </c>
      <c r="B79" s="74" t="s">
        <v>314</v>
      </c>
      <c r="C79" s="22">
        <f>'[1]Participaciones  Tabla I'!C79</f>
        <v>6921</v>
      </c>
      <c r="D79" s="24">
        <f t="shared" si="7"/>
        <v>2.9820354018142976E-3</v>
      </c>
      <c r="E79" s="24">
        <f t="shared" si="8"/>
        <v>2.0874247812700084E-3</v>
      </c>
      <c r="F79" s="75">
        <f>'[1]Participaciones  Tabla I'!X79</f>
        <v>50.657433654324002</v>
      </c>
      <c r="G79" s="22">
        <f t="shared" si="12"/>
        <v>13048.006684378468</v>
      </c>
      <c r="H79" s="33">
        <f t="shared" si="9"/>
        <v>5.6504615444934372E-3</v>
      </c>
      <c r="I79" s="33">
        <f t="shared" si="10"/>
        <v>1.6951384633480311E-3</v>
      </c>
      <c r="J79" s="76">
        <f t="shared" si="11"/>
        <v>3.7825632446180394E-3</v>
      </c>
      <c r="K79" s="69">
        <v>3.7825632446180394E-3</v>
      </c>
      <c r="L79" s="69">
        <f t="shared" si="13"/>
        <v>0</v>
      </c>
      <c r="N79" s="77"/>
    </row>
    <row r="80" spans="1:14" x14ac:dyDescent="0.25">
      <c r="A80" s="20">
        <v>76</v>
      </c>
      <c r="B80" s="79" t="s">
        <v>315</v>
      </c>
      <c r="C80" s="22">
        <f>'[1]Participaciones  Tabla I'!C80</f>
        <v>17939</v>
      </c>
      <c r="D80" s="24">
        <f t="shared" si="7"/>
        <v>7.7293358001945802E-3</v>
      </c>
      <c r="E80" s="24">
        <f t="shared" si="8"/>
        <v>5.4105350601362061E-3</v>
      </c>
      <c r="F80" s="75">
        <f>'[1]Participaciones  Tabla I'!X80</f>
        <v>52.989493663485597</v>
      </c>
      <c r="G80" s="22">
        <f t="shared" si="12"/>
        <v>27728.845493658544</v>
      </c>
      <c r="H80" s="33">
        <f t="shared" si="9"/>
        <v>1.20080238250262E-2</v>
      </c>
      <c r="I80" s="33">
        <f t="shared" si="10"/>
        <v>3.6024071475078598E-3</v>
      </c>
      <c r="J80" s="76">
        <f t="shared" si="11"/>
        <v>9.0129422076440664E-3</v>
      </c>
      <c r="K80" s="69">
        <v>9.0129422076440664E-3</v>
      </c>
      <c r="L80" s="69">
        <f t="shared" si="13"/>
        <v>0</v>
      </c>
      <c r="N80" s="77"/>
    </row>
    <row r="81" spans="1:14" x14ac:dyDescent="0.25">
      <c r="A81" s="20">
        <v>77</v>
      </c>
      <c r="B81" s="79" t="s">
        <v>316</v>
      </c>
      <c r="C81" s="22">
        <f>'[1]Participaciones  Tabla I'!C81</f>
        <v>2683</v>
      </c>
      <c r="D81" s="24">
        <f t="shared" si="7"/>
        <v>1.1560180585273459E-3</v>
      </c>
      <c r="E81" s="24">
        <f t="shared" si="8"/>
        <v>8.0921264096914215E-4</v>
      </c>
      <c r="F81" s="75">
        <f>'[1]Participaciones  Tabla I'!X81</f>
        <v>50.667758036341702</v>
      </c>
      <c r="G81" s="22">
        <f t="shared" si="12"/>
        <v>5054.1667954449003</v>
      </c>
      <c r="H81" s="33">
        <f t="shared" si="9"/>
        <v>2.1887155492729881E-3</v>
      </c>
      <c r="I81" s="33">
        <f t="shared" si="10"/>
        <v>6.5661466478189644E-4</v>
      </c>
      <c r="J81" s="76">
        <f t="shared" si="11"/>
        <v>1.4658273057510385E-3</v>
      </c>
      <c r="K81" s="69">
        <v>1.4658273057510385E-3</v>
      </c>
      <c r="L81" s="69">
        <f t="shared" si="13"/>
        <v>0</v>
      </c>
      <c r="N81" s="77"/>
    </row>
    <row r="82" spans="1:14" x14ac:dyDescent="0.25">
      <c r="A82" s="20">
        <v>78</v>
      </c>
      <c r="B82" s="74" t="s">
        <v>317</v>
      </c>
      <c r="C82" s="22">
        <f>'[1]Participaciones  Tabla I'!C82</f>
        <v>3747</v>
      </c>
      <c r="D82" s="24">
        <f t="shared" si="7"/>
        <v>1.6144612990316679E-3</v>
      </c>
      <c r="E82" s="24">
        <f t="shared" si="8"/>
        <v>1.1301229093221674E-3</v>
      </c>
      <c r="F82" s="75">
        <f>'[1]Participaciones  Tabla I'!X82</f>
        <v>52.699620408264003</v>
      </c>
      <c r="G82" s="22">
        <f t="shared" si="12"/>
        <v>5949.9934512821792</v>
      </c>
      <c r="H82" s="33">
        <f t="shared" si="9"/>
        <v>2.5766548101718123E-3</v>
      </c>
      <c r="I82" s="33">
        <f t="shared" si="10"/>
        <v>7.7299644305154366E-4</v>
      </c>
      <c r="J82" s="76">
        <f t="shared" si="11"/>
        <v>1.9031193523737109E-3</v>
      </c>
      <c r="K82" s="69">
        <v>1.9031193523737109E-3</v>
      </c>
      <c r="L82" s="69">
        <f t="shared" si="13"/>
        <v>0</v>
      </c>
      <c r="N82" s="77"/>
    </row>
    <row r="83" spans="1:14" x14ac:dyDescent="0.25">
      <c r="A83" s="20">
        <v>79</v>
      </c>
      <c r="B83" s="74" t="s">
        <v>318</v>
      </c>
      <c r="C83" s="22">
        <f>'[1]Participaciones  Tabla I'!C83</f>
        <v>45062</v>
      </c>
      <c r="D83" s="24">
        <f t="shared" si="7"/>
        <v>1.9415760623689625E-2</v>
      </c>
      <c r="E83" s="24">
        <f t="shared" si="8"/>
        <v>1.3591032436582736E-2</v>
      </c>
      <c r="F83" s="75">
        <f>'[1]Participaciones  Tabla I'!X83</f>
        <v>53.797324570673297</v>
      </c>
      <c r="G83" s="22">
        <f t="shared" si="12"/>
        <v>64353.472204584126</v>
      </c>
      <c r="H83" s="33">
        <f t="shared" si="9"/>
        <v>2.7868380875523058E-2</v>
      </c>
      <c r="I83" s="33">
        <f t="shared" si="10"/>
        <v>8.3605142626569165E-3</v>
      </c>
      <c r="J83" s="76">
        <f t="shared" si="11"/>
        <v>2.1951546699239655E-2</v>
      </c>
      <c r="K83" s="69">
        <v>2.1951546699239655E-2</v>
      </c>
      <c r="L83" s="69">
        <f t="shared" si="13"/>
        <v>0</v>
      </c>
      <c r="N83" s="77"/>
    </row>
    <row r="84" spans="1:14" x14ac:dyDescent="0.25">
      <c r="A84" s="20">
        <v>80</v>
      </c>
      <c r="B84" s="74" t="s">
        <v>319</v>
      </c>
      <c r="C84" s="22">
        <f>'[1]Participaciones  Tabla I'!C84</f>
        <v>11020</v>
      </c>
      <c r="D84" s="24">
        <f t="shared" si="7"/>
        <v>4.7481621337947637E-3</v>
      </c>
      <c r="E84" s="24">
        <f t="shared" si="8"/>
        <v>3.3237134936563344E-3</v>
      </c>
      <c r="F84" s="75">
        <f>'[1]Participaciones  Tabla I'!X84</f>
        <v>54.147816437142303</v>
      </c>
      <c r="G84" s="22">
        <f t="shared" si="12"/>
        <v>15175.398752807914</v>
      </c>
      <c r="H84" s="33">
        <f t="shared" si="9"/>
        <v>6.5717323074148421E-3</v>
      </c>
      <c r="I84" s="33">
        <f t="shared" si="10"/>
        <v>1.9715196922244524E-3</v>
      </c>
      <c r="J84" s="76">
        <f t="shared" si="11"/>
        <v>5.2952331858807863E-3</v>
      </c>
      <c r="K84" s="69">
        <v>5.2952331858807863E-3</v>
      </c>
      <c r="L84" s="69">
        <f t="shared" si="13"/>
        <v>0</v>
      </c>
      <c r="N84" s="77"/>
    </row>
    <row r="85" spans="1:14" x14ac:dyDescent="0.25">
      <c r="A85" s="20">
        <v>81</v>
      </c>
      <c r="B85" s="74" t="s">
        <v>320</v>
      </c>
      <c r="C85" s="22">
        <f>'[1]Participaciones  Tabla I'!C85</f>
        <v>3355</v>
      </c>
      <c r="D85" s="24">
        <f t="shared" si="7"/>
        <v>1.4455611577932335E-3</v>
      </c>
      <c r="E85" s="24">
        <f t="shared" si="8"/>
        <v>1.0118928104552634E-3</v>
      </c>
      <c r="F85" s="75">
        <f>'[1]Participaciones  Tabla I'!X85</f>
        <v>50.930152286702899</v>
      </c>
      <c r="G85" s="22">
        <f t="shared" si="12"/>
        <v>6191.8867697730702</v>
      </c>
      <c r="H85" s="33">
        <f t="shared" si="9"/>
        <v>2.681407124227497E-3</v>
      </c>
      <c r="I85" s="33">
        <f t="shared" si="10"/>
        <v>8.0442213726824913E-4</v>
      </c>
      <c r="J85" s="76">
        <f t="shared" si="11"/>
        <v>1.8163149477235124E-3</v>
      </c>
      <c r="K85" s="69">
        <v>1.8163149477235124E-3</v>
      </c>
      <c r="L85" s="69">
        <f t="shared" si="13"/>
        <v>0</v>
      </c>
      <c r="N85" s="77"/>
    </row>
    <row r="86" spans="1:14" x14ac:dyDescent="0.25">
      <c r="A86" s="20">
        <v>82</v>
      </c>
      <c r="B86" s="74" t="s">
        <v>321</v>
      </c>
      <c r="C86" s="22">
        <f>'[1]Participaciones  Tabla I'!C86</f>
        <v>3512</v>
      </c>
      <c r="D86" s="24">
        <f t="shared" si="7"/>
        <v>1.5132073878300555E-3</v>
      </c>
      <c r="E86" s="24">
        <f t="shared" si="8"/>
        <v>1.0592451714810389E-3</v>
      </c>
      <c r="F86" s="75">
        <f>'[1]Participaciones  Tabla I'!X86</f>
        <v>55.370599847421801</v>
      </c>
      <c r="G86" s="22">
        <f t="shared" si="12"/>
        <v>4211.0308057004313</v>
      </c>
      <c r="H86" s="33">
        <f t="shared" si="9"/>
        <v>1.8235940711752421E-3</v>
      </c>
      <c r="I86" s="33">
        <f t="shared" si="10"/>
        <v>5.4707822135257266E-4</v>
      </c>
      <c r="J86" s="76">
        <f t="shared" si="11"/>
        <v>1.6063233928336116E-3</v>
      </c>
      <c r="K86" s="69">
        <v>1.6063233928336116E-3</v>
      </c>
      <c r="L86" s="69">
        <f t="shared" si="13"/>
        <v>0</v>
      </c>
      <c r="N86" s="77"/>
    </row>
    <row r="87" spans="1:14" x14ac:dyDescent="0.25">
      <c r="A87" s="20">
        <v>83</v>
      </c>
      <c r="B87" s="79" t="s">
        <v>322</v>
      </c>
      <c r="C87" s="22">
        <f>'[1]Participaciones  Tabla I'!C87</f>
        <v>1915</v>
      </c>
      <c r="D87" s="24">
        <f t="shared" si="7"/>
        <v>8.2511165936633151E-4</v>
      </c>
      <c r="E87" s="24">
        <f t="shared" si="8"/>
        <v>5.77578161556432E-4</v>
      </c>
      <c r="F87" s="75">
        <f>'[1]Participaciones  Tabla I'!X87</f>
        <v>55.268992057506999</v>
      </c>
      <c r="G87" s="22">
        <f t="shared" si="12"/>
        <v>2324.4935585576668</v>
      </c>
      <c r="H87" s="33">
        <f t="shared" si="9"/>
        <v>1.0066258993243649E-3</v>
      </c>
      <c r="I87" s="33">
        <f t="shared" si="10"/>
        <v>3.0198776979730948E-4</v>
      </c>
      <c r="J87" s="76">
        <f t="shared" si="11"/>
        <v>8.7956593135374143E-4</v>
      </c>
      <c r="K87" s="69">
        <v>8.7956593135374143E-4</v>
      </c>
      <c r="L87" s="69">
        <f t="shared" si="13"/>
        <v>0</v>
      </c>
      <c r="N87" s="77"/>
    </row>
    <row r="88" spans="1:14" x14ac:dyDescent="0.25">
      <c r="A88" s="20">
        <v>84</v>
      </c>
      <c r="B88" s="74" t="s">
        <v>323</v>
      </c>
      <c r="C88" s="22">
        <f>'[1]Participaciones  Tabla I'!C88</f>
        <v>7037</v>
      </c>
      <c r="D88" s="24">
        <f t="shared" si="7"/>
        <v>3.0320160558542425E-3</v>
      </c>
      <c r="E88" s="24">
        <f t="shared" si="8"/>
        <v>2.1224112390979696E-3</v>
      </c>
      <c r="F88" s="75">
        <f>'[1]Participaciones  Tabla I'!X88</f>
        <v>53.2971545292461</v>
      </c>
      <c r="G88" s="22">
        <f t="shared" si="12"/>
        <v>10562.074672912411</v>
      </c>
      <c r="H88" s="33">
        <f t="shared" si="9"/>
        <v>4.5739244478477615E-3</v>
      </c>
      <c r="I88" s="33">
        <f t="shared" si="10"/>
        <v>1.3721773343543283E-3</v>
      </c>
      <c r="J88" s="76">
        <f t="shared" si="11"/>
        <v>3.4945885734522977E-3</v>
      </c>
      <c r="K88" s="69">
        <v>3.4945885734522977E-3</v>
      </c>
      <c r="L88" s="69">
        <f t="shared" si="13"/>
        <v>0</v>
      </c>
      <c r="N88" s="77"/>
    </row>
    <row r="89" spans="1:14" x14ac:dyDescent="0.25">
      <c r="A89" s="20">
        <v>85</v>
      </c>
      <c r="B89" s="74" t="s">
        <v>324</v>
      </c>
      <c r="C89" s="22">
        <f>'[1]Participaciones  Tabla I'!C89</f>
        <v>16680</v>
      </c>
      <c r="D89" s="24">
        <f t="shared" si="7"/>
        <v>7.1868733567782813E-3</v>
      </c>
      <c r="E89" s="24">
        <f t="shared" si="8"/>
        <v>5.030811349744797E-3</v>
      </c>
      <c r="F89" s="75">
        <f>'[1]Participaciones  Tabla I'!X89</f>
        <v>51.747656674820597</v>
      </c>
      <c r="G89" s="22">
        <f t="shared" si="12"/>
        <v>28798.707018277284</v>
      </c>
      <c r="H89" s="33">
        <f t="shared" si="9"/>
        <v>1.2471329182619926E-2</v>
      </c>
      <c r="I89" s="33">
        <f t="shared" si="10"/>
        <v>3.7413987547859776E-3</v>
      </c>
      <c r="J89" s="76">
        <f t="shared" si="11"/>
        <v>8.7722101045307754E-3</v>
      </c>
      <c r="K89" s="69">
        <v>8.7722101045307754E-3</v>
      </c>
      <c r="L89" s="69">
        <f t="shared" si="13"/>
        <v>0</v>
      </c>
      <c r="N89" s="77"/>
    </row>
    <row r="90" spans="1:14" x14ac:dyDescent="0.25">
      <c r="A90" s="20">
        <v>86</v>
      </c>
      <c r="B90" s="74" t="s">
        <v>325</v>
      </c>
      <c r="C90" s="22">
        <f>'[1]Participaciones  Tabla I'!C90</f>
        <v>2133</v>
      </c>
      <c r="D90" s="24">
        <f t="shared" si="7"/>
        <v>9.1904081954484863E-4</v>
      </c>
      <c r="E90" s="24">
        <f t="shared" si="8"/>
        <v>6.4332857368139403E-4</v>
      </c>
      <c r="F90" s="75">
        <f>'[1]Participaciones  Tabla I'!X90</f>
        <v>50.617111523905002</v>
      </c>
      <c r="G90" s="22">
        <f t="shared" si="12"/>
        <v>4033.819883000745</v>
      </c>
      <c r="H90" s="33">
        <f t="shared" si="9"/>
        <v>1.7468525789151564E-3</v>
      </c>
      <c r="I90" s="33">
        <f t="shared" si="10"/>
        <v>5.240557736745469E-4</v>
      </c>
      <c r="J90" s="76">
        <f t="shared" si="11"/>
        <v>1.1673843473559409E-3</v>
      </c>
      <c r="K90" s="69">
        <v>1.1673843473559409E-3</v>
      </c>
      <c r="L90" s="69">
        <f t="shared" si="13"/>
        <v>0</v>
      </c>
      <c r="N90" s="77"/>
    </row>
    <row r="91" spans="1:14" x14ac:dyDescent="0.25">
      <c r="A91" s="20">
        <v>87</v>
      </c>
      <c r="B91" s="74" t="s">
        <v>326</v>
      </c>
      <c r="C91" s="22">
        <f>'[1]Participaciones  Tabla I'!C91</f>
        <v>5464</v>
      </c>
      <c r="D91" s="24">
        <f t="shared" si="7"/>
        <v>2.3542611523643003E-3</v>
      </c>
      <c r="E91" s="24">
        <f t="shared" si="8"/>
        <v>1.64798280665501E-3</v>
      </c>
      <c r="F91" s="75">
        <f>'[1]Participaciones  Tabla I'!X91</f>
        <v>51.139743750078402</v>
      </c>
      <c r="G91" s="22">
        <f t="shared" si="12"/>
        <v>9917.4512857776226</v>
      </c>
      <c r="H91" s="33">
        <f t="shared" si="9"/>
        <v>4.2947691908193399E-3</v>
      </c>
      <c r="I91" s="33">
        <f t="shared" si="10"/>
        <v>1.288430757245802E-3</v>
      </c>
      <c r="J91" s="76">
        <f t="shared" si="11"/>
        <v>2.936413563900812E-3</v>
      </c>
      <c r="K91" s="69">
        <v>2.936413563900812E-3</v>
      </c>
      <c r="L91" s="69">
        <f t="shared" si="13"/>
        <v>0</v>
      </c>
      <c r="N91" s="77"/>
    </row>
    <row r="92" spans="1:14" x14ac:dyDescent="0.25">
      <c r="A92" s="20">
        <v>88</v>
      </c>
      <c r="B92" s="79" t="s">
        <v>327</v>
      </c>
      <c r="C92" s="22">
        <f>'[1]Participaciones  Tabla I'!C92</f>
        <v>1917</v>
      </c>
      <c r="D92" s="24">
        <f t="shared" si="7"/>
        <v>8.2597339478081332E-4</v>
      </c>
      <c r="E92" s="24">
        <f t="shared" si="8"/>
        <v>5.7818137634656924E-4</v>
      </c>
      <c r="F92" s="75">
        <f>'[1]Participaciones  Tabla I'!X92</f>
        <v>52.540547336063703</v>
      </c>
      <c r="G92" s="22">
        <f t="shared" si="12"/>
        <v>3088.4716221851104</v>
      </c>
      <c r="H92" s="33">
        <f t="shared" si="9"/>
        <v>1.3374679025348391E-3</v>
      </c>
      <c r="I92" s="33">
        <f t="shared" si="10"/>
        <v>4.0124037076045172E-4</v>
      </c>
      <c r="J92" s="76">
        <f t="shared" si="11"/>
        <v>9.7942174710702106E-4</v>
      </c>
      <c r="K92" s="69">
        <v>9.7942174710702106E-4</v>
      </c>
      <c r="L92" s="69">
        <f t="shared" si="13"/>
        <v>0</v>
      </c>
      <c r="N92" s="77"/>
    </row>
    <row r="93" spans="1:14" x14ac:dyDescent="0.25">
      <c r="A93" s="20">
        <v>89</v>
      </c>
      <c r="B93" s="74" t="s">
        <v>328</v>
      </c>
      <c r="C93" s="22">
        <f>'[1]Participaciones  Tabla I'!C93</f>
        <v>40495</v>
      </c>
      <c r="D93" s="24">
        <f t="shared" si="7"/>
        <v>1.7447987804720413E-2</v>
      </c>
      <c r="E93" s="24">
        <f t="shared" si="8"/>
        <v>1.2213591463304288E-2</v>
      </c>
      <c r="F93" s="75">
        <f>'[1]Participaciones  Tabla I'!X93</f>
        <v>56.026230148359701</v>
      </c>
      <c r="G93" s="22">
        <f t="shared" si="12"/>
        <v>44689.508156700453</v>
      </c>
      <c r="H93" s="33">
        <f t="shared" si="9"/>
        <v>1.9352867713049469E-2</v>
      </c>
      <c r="I93" s="33">
        <f t="shared" si="10"/>
        <v>5.8058603139148407E-3</v>
      </c>
      <c r="J93" s="76">
        <f t="shared" si="11"/>
        <v>1.8019451777219128E-2</v>
      </c>
      <c r="K93" s="69">
        <v>1.8019451777219128E-2</v>
      </c>
      <c r="L93" s="69">
        <f t="shared" si="13"/>
        <v>0</v>
      </c>
      <c r="N93" s="77"/>
    </row>
    <row r="94" spans="1:14" x14ac:dyDescent="0.25">
      <c r="A94" s="20">
        <v>90</v>
      </c>
      <c r="B94" s="74" t="s">
        <v>329</v>
      </c>
      <c r="C94" s="22">
        <f>'[1]Participaciones  Tabla I'!C94</f>
        <v>7503</v>
      </c>
      <c r="D94" s="24">
        <f t="shared" si="7"/>
        <v>3.2328004074285038E-3</v>
      </c>
      <c r="E94" s="24">
        <f t="shared" si="8"/>
        <v>2.2629602851999527E-3</v>
      </c>
      <c r="F94" s="75">
        <f>'[1]Participaciones  Tabla I'!X94</f>
        <v>51.884072562114902</v>
      </c>
      <c r="G94" s="22">
        <f t="shared" si="12"/>
        <v>12805.212799275389</v>
      </c>
      <c r="H94" s="33">
        <f t="shared" si="9"/>
        <v>5.5453192385306735E-3</v>
      </c>
      <c r="I94" s="33">
        <f t="shared" si="10"/>
        <v>1.6635957715592021E-3</v>
      </c>
      <c r="J94" s="76">
        <f t="shared" si="11"/>
        <v>3.926556056759155E-3</v>
      </c>
      <c r="K94" s="69">
        <v>3.926556056759155E-3</v>
      </c>
      <c r="L94" s="69">
        <f t="shared" si="13"/>
        <v>0</v>
      </c>
      <c r="N94" s="77"/>
    </row>
    <row r="95" spans="1:14" x14ac:dyDescent="0.25">
      <c r="A95" s="20">
        <v>91</v>
      </c>
      <c r="B95" s="74" t="s">
        <v>330</v>
      </c>
      <c r="C95" s="22">
        <f>'[1]Participaciones  Tabla I'!C95</f>
        <v>12700</v>
      </c>
      <c r="D95" s="24">
        <f t="shared" si="7"/>
        <v>5.4720198819594827E-3</v>
      </c>
      <c r="E95" s="24">
        <f t="shared" si="8"/>
        <v>3.8304139173716378E-3</v>
      </c>
      <c r="F95" s="75">
        <f>'[1]Participaciones  Tabla I'!X95</f>
        <v>53.452750880160899</v>
      </c>
      <c r="G95" s="22">
        <f t="shared" si="12"/>
        <v>18774.149292476868</v>
      </c>
      <c r="H95" s="33">
        <f t="shared" si="9"/>
        <v>8.1301773653078401E-3</v>
      </c>
      <c r="I95" s="33">
        <f t="shared" si="10"/>
        <v>2.4390532095923518E-3</v>
      </c>
      <c r="J95" s="76">
        <f t="shared" si="11"/>
        <v>6.2694671269639896E-3</v>
      </c>
      <c r="K95" s="69">
        <v>6.2694671269639896E-3</v>
      </c>
      <c r="L95" s="69">
        <f t="shared" si="13"/>
        <v>0</v>
      </c>
      <c r="N95" s="77"/>
    </row>
    <row r="96" spans="1:14" x14ac:dyDescent="0.25">
      <c r="A96" s="20">
        <v>92</v>
      </c>
      <c r="B96" s="74" t="s">
        <v>331</v>
      </c>
      <c r="C96" s="22">
        <f>'[1]Participaciones  Tabla I'!C96</f>
        <v>7888</v>
      </c>
      <c r="D96" s="24">
        <f t="shared" si="7"/>
        <v>3.3986844747162519E-3</v>
      </c>
      <c r="E96" s="24">
        <f t="shared" si="8"/>
        <v>2.3790791323013761E-3</v>
      </c>
      <c r="F96" s="75">
        <f>'[1]Participaciones  Tabla I'!X96</f>
        <v>48.945772326207702</v>
      </c>
      <c r="G96" s="22">
        <f t="shared" si="12"/>
        <v>16836.900892911191</v>
      </c>
      <c r="H96" s="33">
        <f t="shared" si="9"/>
        <v>7.2912486424261558E-3</v>
      </c>
      <c r="I96" s="33">
        <f t="shared" si="10"/>
        <v>2.1873745927278466E-3</v>
      </c>
      <c r="J96" s="76">
        <f t="shared" si="11"/>
        <v>4.5664537250292223E-3</v>
      </c>
      <c r="K96" s="69">
        <v>4.5664537250292223E-3</v>
      </c>
      <c r="L96" s="69">
        <f t="shared" si="13"/>
        <v>0</v>
      </c>
      <c r="N96" s="77"/>
    </row>
    <row r="97" spans="1:14" x14ac:dyDescent="0.25">
      <c r="A97" s="20">
        <v>93</v>
      </c>
      <c r="B97" s="74" t="s">
        <v>332</v>
      </c>
      <c r="C97" s="22">
        <f>'[1]Participaciones  Tabla I'!C97</f>
        <v>18420</v>
      </c>
      <c r="D97" s="24">
        <f t="shared" si="7"/>
        <v>7.9365831673774544E-3</v>
      </c>
      <c r="E97" s="24">
        <f t="shared" si="8"/>
        <v>5.5556082171642181E-3</v>
      </c>
      <c r="F97" s="75">
        <f>'[1]Participaciones  Tabla I'!X97</f>
        <v>56.823219802976503</v>
      </c>
      <c r="G97" s="22">
        <f t="shared" si="12"/>
        <v>18190.472002967552</v>
      </c>
      <c r="H97" s="33">
        <f t="shared" si="9"/>
        <v>7.8774149197831083E-3</v>
      </c>
      <c r="I97" s="33">
        <f t="shared" si="10"/>
        <v>2.3632244759349322E-3</v>
      </c>
      <c r="J97" s="76">
        <f t="shared" si="11"/>
        <v>7.9188326930991499E-3</v>
      </c>
      <c r="K97" s="69">
        <v>7.9188326930991499E-3</v>
      </c>
      <c r="L97" s="69">
        <f t="shared" si="13"/>
        <v>0</v>
      </c>
      <c r="N97" s="77"/>
    </row>
    <row r="98" spans="1:14" x14ac:dyDescent="0.25">
      <c r="A98" s="20">
        <v>94</v>
      </c>
      <c r="B98" s="74" t="s">
        <v>333</v>
      </c>
      <c r="C98" s="22">
        <f>'[1]Participaciones  Tabla I'!C98</f>
        <v>5444</v>
      </c>
      <c r="D98" s="24">
        <f t="shared" si="7"/>
        <v>2.3456437982194824E-3</v>
      </c>
      <c r="E98" s="24">
        <f t="shared" si="8"/>
        <v>1.6419506587536377E-3</v>
      </c>
      <c r="F98" s="75">
        <f>'[1]Participaciones  Tabla I'!X98</f>
        <v>50.508968021538301</v>
      </c>
      <c r="G98" s="22">
        <f t="shared" si="12"/>
        <v>10381.132330012535</v>
      </c>
      <c r="H98" s="33">
        <f t="shared" si="9"/>
        <v>4.495567057707062E-3</v>
      </c>
      <c r="I98" s="33">
        <f t="shared" si="10"/>
        <v>1.3486701173121185E-3</v>
      </c>
      <c r="J98" s="76">
        <f t="shared" si="11"/>
        <v>2.9906207760657562E-3</v>
      </c>
      <c r="K98" s="69">
        <v>2.9906207760657562E-3</v>
      </c>
      <c r="L98" s="69">
        <f t="shared" si="13"/>
        <v>0</v>
      </c>
      <c r="N98" s="77"/>
    </row>
    <row r="99" spans="1:14" x14ac:dyDescent="0.25">
      <c r="A99" s="20">
        <v>95</v>
      </c>
      <c r="B99" s="74" t="s">
        <v>334</v>
      </c>
      <c r="C99" s="22">
        <f>'[1]Participaciones  Tabla I'!C99</f>
        <v>5690</v>
      </c>
      <c r="D99" s="24">
        <f t="shared" si="7"/>
        <v>2.4516372542007447E-3</v>
      </c>
      <c r="E99" s="24">
        <f t="shared" si="8"/>
        <v>1.7161460779405212E-3</v>
      </c>
      <c r="F99" s="75">
        <f>'[1]Participaciones  Tabla I'!X99</f>
        <v>55.0001326669543</v>
      </c>
      <c r="G99" s="22">
        <f t="shared" si="12"/>
        <v>7129.4600902043667</v>
      </c>
      <c r="H99" s="33">
        <f t="shared" si="9"/>
        <v>3.087424849416332E-3</v>
      </c>
      <c r="I99" s="33">
        <f t="shared" si="10"/>
        <v>9.2622745482489959E-4</v>
      </c>
      <c r="J99" s="76">
        <f t="shared" si="11"/>
        <v>2.6423735327654207E-3</v>
      </c>
      <c r="K99" s="69">
        <v>2.6423735327654207E-3</v>
      </c>
      <c r="L99" s="69">
        <f t="shared" si="13"/>
        <v>0</v>
      </c>
      <c r="N99" s="77"/>
    </row>
    <row r="100" spans="1:14" x14ac:dyDescent="0.25">
      <c r="A100" s="20">
        <v>96</v>
      </c>
      <c r="B100" s="74" t="s">
        <v>335</v>
      </c>
      <c r="C100" s="22">
        <f>'[1]Participaciones  Tabla I'!C100</f>
        <v>80672</v>
      </c>
      <c r="D100" s="24">
        <f t="shared" si="7"/>
        <v>3.4758959678538218E-2</v>
      </c>
      <c r="E100" s="24">
        <f t="shared" si="8"/>
        <v>2.4331271774976751E-2</v>
      </c>
      <c r="F100" s="75">
        <f>'[1]Participaciones  Tabla I'!X100</f>
        <v>53.416208398811101</v>
      </c>
      <c r="G100" s="22">
        <f t="shared" si="12"/>
        <v>119684.98380904166</v>
      </c>
      <c r="H100" s="33">
        <f t="shared" si="9"/>
        <v>5.1829786328663537E-2</v>
      </c>
      <c r="I100" s="33">
        <f t="shared" si="10"/>
        <v>1.554893589859906E-2</v>
      </c>
      <c r="J100" s="76">
        <f t="shared" si="11"/>
        <v>3.9880207673575807E-2</v>
      </c>
      <c r="K100" s="69">
        <v>3.9880207673575807E-2</v>
      </c>
      <c r="L100" s="69">
        <f t="shared" si="13"/>
        <v>0</v>
      </c>
      <c r="N100" s="77"/>
    </row>
    <row r="101" spans="1:14" x14ac:dyDescent="0.25">
      <c r="A101" s="20">
        <v>97</v>
      </c>
      <c r="B101" s="74" t="s">
        <v>336</v>
      </c>
      <c r="C101" s="22">
        <f>'[1]Participaciones  Tabla I'!C101</f>
        <v>3684</v>
      </c>
      <c r="D101" s="24">
        <f t="shared" si="7"/>
        <v>1.5873166334754909E-3</v>
      </c>
      <c r="E101" s="24">
        <f t="shared" si="8"/>
        <v>1.1111216434328435E-3</v>
      </c>
      <c r="F101" s="75">
        <f>'[1]Participaciones  Tabla I'!X101</f>
        <v>51.540020862115803</v>
      </c>
      <c r="G101" s="22">
        <f t="shared" si="12"/>
        <v>6471.9515937613551</v>
      </c>
      <c r="H101" s="33">
        <f t="shared" si="9"/>
        <v>2.802689673829939E-3</v>
      </c>
      <c r="I101" s="33">
        <f t="shared" si="10"/>
        <v>8.4080690214898164E-4</v>
      </c>
      <c r="J101" s="76">
        <f t="shared" si="11"/>
        <v>1.9519285455818253E-3</v>
      </c>
      <c r="K101" s="69">
        <v>1.9519285455818253E-3</v>
      </c>
      <c r="L101" s="69">
        <f t="shared" si="13"/>
        <v>0</v>
      </c>
      <c r="N101" s="77"/>
    </row>
    <row r="102" spans="1:14" x14ac:dyDescent="0.25">
      <c r="A102" s="20">
        <v>98</v>
      </c>
      <c r="B102" s="74" t="s">
        <v>337</v>
      </c>
      <c r="C102" s="22">
        <f>'[1]Participaciones  Tabla I'!C102</f>
        <v>15346</v>
      </c>
      <c r="D102" s="24">
        <f t="shared" si="7"/>
        <v>6.6120958353189157E-3</v>
      </c>
      <c r="E102" s="24">
        <f t="shared" si="8"/>
        <v>4.6284670847232404E-3</v>
      </c>
      <c r="F102" s="75">
        <f>'[1]Participaciones  Tabla I'!X102</f>
        <v>53.404542909139003</v>
      </c>
      <c r="G102" s="22">
        <f t="shared" si="12"/>
        <v>22793.391585580961</v>
      </c>
      <c r="H102" s="33">
        <f t="shared" si="9"/>
        <v>9.870717094060141E-3</v>
      </c>
      <c r="I102" s="33">
        <f t="shared" si="10"/>
        <v>2.9612151282180422E-3</v>
      </c>
      <c r="J102" s="76">
        <f t="shared" si="11"/>
        <v>7.589682212941283E-3</v>
      </c>
      <c r="K102" s="69">
        <v>7.589682212941283E-3</v>
      </c>
      <c r="L102" s="69">
        <f t="shared" si="13"/>
        <v>0</v>
      </c>
      <c r="N102" s="77"/>
    </row>
    <row r="103" spans="1:14" x14ac:dyDescent="0.25">
      <c r="A103" s="20">
        <v>99</v>
      </c>
      <c r="B103" s="74" t="s">
        <v>338</v>
      </c>
      <c r="C103" s="22">
        <f>'[1]Participaciones  Tabla I'!C103</f>
        <v>4191</v>
      </c>
      <c r="D103" s="24">
        <f t="shared" si="7"/>
        <v>1.8057665610466294E-3</v>
      </c>
      <c r="E103" s="24">
        <f t="shared" si="8"/>
        <v>1.2640365927326406E-3</v>
      </c>
      <c r="F103" s="75">
        <f>'[1]Participaciones  Tabla I'!X103</f>
        <v>49.6852777840841</v>
      </c>
      <c r="G103" s="22">
        <f t="shared" si="12"/>
        <v>8494.4175174851516</v>
      </c>
      <c r="H103" s="33">
        <f t="shared" si="9"/>
        <v>3.6785219908635862E-3</v>
      </c>
      <c r="I103" s="33">
        <f t="shared" si="10"/>
        <v>1.1035565972590759E-3</v>
      </c>
      <c r="J103" s="76">
        <f t="shared" si="11"/>
        <v>2.3675931899917162E-3</v>
      </c>
      <c r="K103" s="69">
        <v>2.3675931899917162E-3</v>
      </c>
      <c r="L103" s="69">
        <f t="shared" si="13"/>
        <v>0</v>
      </c>
      <c r="N103" s="77"/>
    </row>
    <row r="104" spans="1:14" x14ac:dyDescent="0.25">
      <c r="A104" s="20">
        <v>100</v>
      </c>
      <c r="B104" s="74" t="s">
        <v>339</v>
      </c>
      <c r="C104" s="22">
        <f>'[1]Participaciones  Tabla I'!C104</f>
        <v>4049</v>
      </c>
      <c r="D104" s="24">
        <f t="shared" si="7"/>
        <v>1.7445833466184209E-3</v>
      </c>
      <c r="E104" s="24">
        <f t="shared" si="8"/>
        <v>1.2212083426328946E-3</v>
      </c>
      <c r="F104" s="75">
        <f>'[1]Participaciones  Tabla I'!X104</f>
        <v>54.379222795855398</v>
      </c>
      <c r="G104" s="22">
        <f t="shared" si="12"/>
        <v>5439.3665165790608</v>
      </c>
      <c r="H104" s="33">
        <f t="shared" si="9"/>
        <v>2.355526945363398E-3</v>
      </c>
      <c r="I104" s="33">
        <f t="shared" si="10"/>
        <v>7.0665808360901932E-4</v>
      </c>
      <c r="J104" s="76">
        <f t="shared" si="11"/>
        <v>1.927866426241914E-3</v>
      </c>
      <c r="K104" s="69">
        <v>1.927866426241914E-3</v>
      </c>
      <c r="L104" s="69">
        <f t="shared" si="13"/>
        <v>0</v>
      </c>
      <c r="N104" s="77"/>
    </row>
    <row r="105" spans="1:14" x14ac:dyDescent="0.25">
      <c r="A105" s="20">
        <v>101</v>
      </c>
      <c r="B105" s="74" t="s">
        <v>340</v>
      </c>
      <c r="C105" s="22">
        <f>'[1]Participaciones  Tabla I'!C105</f>
        <v>69147</v>
      </c>
      <c r="D105" s="24">
        <f t="shared" si="7"/>
        <v>2.9793209352586801E-2</v>
      </c>
      <c r="E105" s="24">
        <f t="shared" si="8"/>
        <v>2.0855246546810761E-2</v>
      </c>
      <c r="F105" s="75">
        <f>'[1]Participaciones  Tabla I'!X105</f>
        <v>57.140115403614402</v>
      </c>
      <c r="G105" s="22">
        <f t="shared" si="12"/>
        <v>65094.930291121491</v>
      </c>
      <c r="H105" s="33">
        <f t="shared" si="9"/>
        <v>2.8189470564252982E-2</v>
      </c>
      <c r="I105" s="33">
        <f t="shared" si="10"/>
        <v>8.456841169275895E-3</v>
      </c>
      <c r="J105" s="76">
        <f t="shared" si="11"/>
        <v>2.9312087716086656E-2</v>
      </c>
      <c r="K105" s="69">
        <v>2.9312087716086656E-2</v>
      </c>
      <c r="L105" s="69">
        <f t="shared" si="13"/>
        <v>0</v>
      </c>
      <c r="N105" s="77"/>
    </row>
    <row r="106" spans="1:14" x14ac:dyDescent="0.25">
      <c r="A106" s="20">
        <v>102</v>
      </c>
      <c r="B106" s="74" t="s">
        <v>341</v>
      </c>
      <c r="C106" s="22">
        <f>'[1]Participaciones  Tabla I'!C106</f>
        <v>85460</v>
      </c>
      <c r="D106" s="24">
        <f t="shared" si="7"/>
        <v>3.6821954260807671E-2</v>
      </c>
      <c r="E106" s="24">
        <f t="shared" si="8"/>
        <v>2.577536798256537E-2</v>
      </c>
      <c r="F106" s="75">
        <f>'[1]Participaciones  Tabla I'!X106</f>
        <v>54.517075111596697</v>
      </c>
      <c r="G106" s="22">
        <f t="shared" si="12"/>
        <v>113090.40279620489</v>
      </c>
      <c r="H106" s="33">
        <f t="shared" si="9"/>
        <v>4.8973991775791897E-2</v>
      </c>
      <c r="I106" s="33">
        <f t="shared" si="10"/>
        <v>1.4692197532737568E-2</v>
      </c>
      <c r="J106" s="76">
        <f t="shared" si="11"/>
        <v>4.0467565515302936E-2</v>
      </c>
      <c r="K106" s="69">
        <v>4.0467565515302936E-2</v>
      </c>
      <c r="L106" s="69">
        <f t="shared" si="13"/>
        <v>0</v>
      </c>
      <c r="N106" s="77"/>
    </row>
    <row r="107" spans="1:14" x14ac:dyDescent="0.25">
      <c r="A107" s="20">
        <v>103</v>
      </c>
      <c r="B107" s="79" t="s">
        <v>342</v>
      </c>
      <c r="C107" s="22">
        <f>'[1]Participaciones  Tabla I'!C107</f>
        <v>3451</v>
      </c>
      <c r="D107" s="24">
        <f t="shared" si="7"/>
        <v>1.4869244576883602E-3</v>
      </c>
      <c r="E107" s="24">
        <f t="shared" si="8"/>
        <v>1.0408471203818522E-3</v>
      </c>
      <c r="F107" s="75">
        <f>'[1]Participaciones  Tabla I'!X107</f>
        <v>51.462046075133301</v>
      </c>
      <c r="G107" s="22">
        <f t="shared" si="12"/>
        <v>6101.8031416304957</v>
      </c>
      <c r="H107" s="33">
        <f t="shared" si="9"/>
        <v>2.6423962554472506E-3</v>
      </c>
      <c r="I107" s="33">
        <f t="shared" si="10"/>
        <v>7.9271887663417517E-4</v>
      </c>
      <c r="J107" s="76">
        <f t="shared" si="11"/>
        <v>1.8335659970160274E-3</v>
      </c>
      <c r="K107" s="69">
        <v>1.8335659970160274E-3</v>
      </c>
      <c r="L107" s="69">
        <f t="shared" si="13"/>
        <v>0</v>
      </c>
      <c r="N107" s="77"/>
    </row>
    <row r="108" spans="1:14" x14ac:dyDescent="0.25">
      <c r="A108" s="20">
        <v>104</v>
      </c>
      <c r="B108" s="74" t="s">
        <v>343</v>
      </c>
      <c r="C108" s="22">
        <f>'[1]Participaciones  Tabla I'!C108</f>
        <v>16350</v>
      </c>
      <c r="D108" s="24">
        <f t="shared" si="7"/>
        <v>7.0446870133887831E-3</v>
      </c>
      <c r="E108" s="24">
        <f t="shared" si="8"/>
        <v>4.9312809093721476E-3</v>
      </c>
      <c r="F108" s="75">
        <f>'[1]Participaciones  Tabla I'!X108</f>
        <v>49.328247322259301</v>
      </c>
      <c r="G108" s="22">
        <f t="shared" si="12"/>
        <v>33988.497554522372</v>
      </c>
      <c r="H108" s="33">
        <f t="shared" si="9"/>
        <v>1.4718776824115804E-2</v>
      </c>
      <c r="I108" s="33">
        <f t="shared" si="10"/>
        <v>4.4156330472347408E-3</v>
      </c>
      <c r="J108" s="76">
        <f t="shared" si="11"/>
        <v>9.3469139566068893E-3</v>
      </c>
      <c r="K108" s="69">
        <v>9.3469139566068893E-3</v>
      </c>
      <c r="L108" s="69">
        <f t="shared" si="13"/>
        <v>0</v>
      </c>
      <c r="N108" s="77"/>
    </row>
    <row r="109" spans="1:14" x14ac:dyDescent="0.25">
      <c r="A109" s="20">
        <v>105</v>
      </c>
      <c r="B109" s="79" t="s">
        <v>344</v>
      </c>
      <c r="C109" s="22">
        <f>'[1]Participaciones  Tabla I'!C109</f>
        <v>3293</v>
      </c>
      <c r="D109" s="24">
        <f t="shared" si="7"/>
        <v>1.4188473599442974E-3</v>
      </c>
      <c r="E109" s="24">
        <f t="shared" si="8"/>
        <v>9.9319315196100808E-4</v>
      </c>
      <c r="F109" s="75">
        <f>'[1]Participaciones  Tabla I'!X109</f>
        <v>55.812858213195398</v>
      </c>
      <c r="G109" s="22">
        <f t="shared" si="12"/>
        <v>3736.3953508147615</v>
      </c>
      <c r="H109" s="33">
        <f t="shared" si="9"/>
        <v>1.6180523780754445E-3</v>
      </c>
      <c r="I109" s="33">
        <f t="shared" si="10"/>
        <v>4.8541571342263331E-4</v>
      </c>
      <c r="J109" s="76">
        <f t="shared" si="11"/>
        <v>1.4786088653836414E-3</v>
      </c>
      <c r="K109" s="69">
        <v>1.4786088653836414E-3</v>
      </c>
      <c r="L109" s="69">
        <f t="shared" si="13"/>
        <v>0</v>
      </c>
      <c r="N109" s="77"/>
    </row>
    <row r="110" spans="1:14" x14ac:dyDescent="0.25">
      <c r="A110" s="20">
        <v>106</v>
      </c>
      <c r="B110" s="74" t="s">
        <v>345</v>
      </c>
      <c r="C110" s="22">
        <f>'[1]Participaciones  Tabla I'!C110</f>
        <v>2215</v>
      </c>
      <c r="D110" s="24">
        <f t="shared" si="7"/>
        <v>9.5437197153860269E-4</v>
      </c>
      <c r="E110" s="24">
        <f t="shared" si="8"/>
        <v>6.6806038007702188E-4</v>
      </c>
      <c r="F110" s="75">
        <f>'[1]Participaciones  Tabla I'!X110</f>
        <v>54.357342749490201</v>
      </c>
      <c r="G110" s="22">
        <f t="shared" si="12"/>
        <v>2982.654533918409</v>
      </c>
      <c r="H110" s="33">
        <f t="shared" si="9"/>
        <v>1.2916436320187068E-3</v>
      </c>
      <c r="I110" s="33">
        <f t="shared" si="10"/>
        <v>3.8749308960561203E-4</v>
      </c>
      <c r="J110" s="76">
        <f t="shared" si="11"/>
        <v>1.0555534696826338E-3</v>
      </c>
      <c r="K110" s="69">
        <v>1.0555534696826338E-3</v>
      </c>
      <c r="L110" s="69">
        <f t="shared" si="13"/>
        <v>0</v>
      </c>
      <c r="N110" s="77"/>
    </row>
    <row r="111" spans="1:14" x14ac:dyDescent="0.25">
      <c r="A111" s="80" t="s">
        <v>346</v>
      </c>
      <c r="B111" s="80"/>
      <c r="C111" s="81">
        <f t="shared" ref="C111:I111" si="14">SUM(C5:C110)</f>
        <v>2320898</v>
      </c>
      <c r="D111" s="81">
        <f t="shared" si="14"/>
        <v>1</v>
      </c>
      <c r="E111" s="82">
        <f t="shared" si="14"/>
        <v>0.7</v>
      </c>
      <c r="F111" s="81">
        <f t="shared" si="14"/>
        <v>5655.0866771990095</v>
      </c>
      <c r="G111" s="83">
        <f t="shared" si="14"/>
        <v>2309193.0777042778</v>
      </c>
      <c r="H111" s="81">
        <f t="shared" si="14"/>
        <v>0.99999999999999989</v>
      </c>
      <c r="I111" s="82">
        <f t="shared" si="14"/>
        <v>0.30000000000000004</v>
      </c>
      <c r="J111" s="84">
        <f>SUM(J5:J110)</f>
        <v>0.99999999999999978</v>
      </c>
    </row>
    <row r="113" spans="2:7" x14ac:dyDescent="0.25">
      <c r="B113" s="52" t="s">
        <v>139</v>
      </c>
      <c r="C113" s="53"/>
      <c r="D113" s="53"/>
      <c r="E113" s="53"/>
      <c r="F113" s="53"/>
      <c r="G113" s="53"/>
    </row>
    <row r="114" spans="2:7" x14ac:dyDescent="0.25">
      <c r="B114" s="53" t="s">
        <v>140</v>
      </c>
      <c r="C114" s="53"/>
      <c r="D114" s="53"/>
      <c r="E114" s="53"/>
      <c r="F114" s="53"/>
      <c r="G114" s="53"/>
    </row>
    <row r="115" spans="2:7" x14ac:dyDescent="0.25">
      <c r="B115" s="53" t="s">
        <v>142</v>
      </c>
    </row>
  </sheetData>
  <mergeCells count="4">
    <mergeCell ref="A1:J1"/>
    <mergeCell ref="C3:E3"/>
    <mergeCell ref="F3:I3"/>
    <mergeCell ref="A111:B111"/>
  </mergeCells>
  <pageMargins left="0.19685039370078741" right="0.19685039370078741" top="0.31496062992125984" bottom="0.32" header="0.23622047244094491" footer="0.19685039370078741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POR MUNICIPIO ANUALPUBLICACIÓN</vt:lpstr>
      <vt:lpstr>Participaciones  Tabla I</vt:lpstr>
      <vt:lpstr>FOMUN 30% Tabla II (2)</vt:lpstr>
      <vt:lpstr> GASOLINAS  Tabla III</vt:lpstr>
      <vt:lpstr>'POR MUNICIPIO ANUALPUBLICACIÓN'!Área_de_impresión</vt:lpstr>
      <vt:lpstr>FACTORGASOLINAS</vt:lpstr>
      <vt:lpstr>RANGOFOGEN</vt:lpstr>
      <vt:lpstr>' GASOLINAS  Tabla III'!Títulos_a_imprimir</vt:lpstr>
      <vt:lpstr>'FOMUN 30% Tabla II (2)'!Títulos_a_imprimir</vt:lpstr>
      <vt:lpstr>'Participaciones  Tabla I'!Títulos_a_imprimir</vt:lpstr>
      <vt:lpstr>'POR MUNICIPIO ANUALPUBLICACIÓN'!Títulos_a_imprimir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Lissette Mendoza Fuentes</dc:creator>
  <cp:lastModifiedBy>Lissette Mendoza Fuentes</cp:lastModifiedBy>
  <dcterms:created xsi:type="dcterms:W3CDTF">2023-02-16T20:17:38Z</dcterms:created>
  <dcterms:modified xsi:type="dcterms:W3CDTF">2023-02-16T20:21:33Z</dcterms:modified>
</cp:coreProperties>
</file>