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1"/>
  <workbookPr/>
  <mc:AlternateContent xmlns:mc="http://schemas.openxmlformats.org/markup-compatibility/2006">
    <mc:Choice Requires="x15">
      <x15ac:absPath xmlns:x15ac="http://schemas.microsoft.com/office/spreadsheetml/2010/11/ac" url="C:\Users\ruben.canul\Desktop\IV TRIMESTRE 2023\"/>
    </mc:Choice>
  </mc:AlternateContent>
  <xr:revisionPtr revIDLastSave="2" documentId="8_{A17E2797-B4E4-4854-9E93-C2AD60FF0ED5}" xr6:coauthVersionLast="47" xr6:coauthVersionMax="47" xr10:uidLastSave="{BDEAB063-4F88-4D40-8349-C1E4868028C4}"/>
  <bookViews>
    <workbookView xWindow="-120" yWindow="-120" windowWidth="19905" windowHeight="11310" xr2:uid="{00000000-000D-0000-FFFF-FFFF00000000}"/>
  </bookViews>
  <sheets>
    <sheet name="CONCENTRADO OCTUBRE-DICIEMBRE" sheetId="1" r:id="rId1"/>
    <sheet name="AMPLIACIONES FF PROPIOS" sheetId="2" r:id="rId2"/>
  </sheets>
  <definedNames>
    <definedName name="_xlnm._FilterDatabase" localSheetId="0" hidden="1">'CONCENTRADO OCTUBRE-DICIEMBRE'!$A$4:$F$74</definedName>
    <definedName name="_xlnm.Print_Area" localSheetId="1">'AMPLIACIONES FF PROPIOS'!$A$4:$R$9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66" i="1"/>
  <c r="E72" i="1"/>
  <c r="E13" i="1"/>
  <c r="E53" i="1" l="1"/>
  <c r="E48" i="1"/>
  <c r="E44" i="1"/>
  <c r="E42" i="1"/>
  <c r="E41" i="1"/>
  <c r="C53" i="1"/>
  <c r="F73" i="1" l="1"/>
  <c r="F72" i="1"/>
  <c r="F66" i="1"/>
  <c r="F53" i="1"/>
  <c r="F48" i="1"/>
  <c r="F42" i="1"/>
  <c r="F13" i="1"/>
  <c r="F9" i="1"/>
  <c r="E74" i="1" l="1"/>
  <c r="D74" i="1"/>
  <c r="C74" i="1"/>
  <c r="F74" i="1" s="1"/>
  <c r="E71" i="1"/>
  <c r="F71" i="1" s="1"/>
  <c r="E70" i="1"/>
  <c r="F70" i="1" s="1"/>
  <c r="E69" i="1"/>
  <c r="C69" i="1"/>
  <c r="F69" i="1" s="1"/>
  <c r="E68" i="1"/>
  <c r="F68" i="1" s="1"/>
  <c r="E67" i="1"/>
  <c r="D67" i="1"/>
  <c r="F67" i="1" s="1"/>
  <c r="E65" i="1"/>
  <c r="F65" i="1" s="1"/>
  <c r="E64" i="1"/>
  <c r="F64" i="1" s="1"/>
  <c r="E63" i="1"/>
  <c r="D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C57" i="1"/>
  <c r="F57" i="1" s="1"/>
  <c r="E56" i="1"/>
  <c r="D56" i="1"/>
  <c r="E55" i="1"/>
  <c r="F55" i="1" s="1"/>
  <c r="E54" i="1"/>
  <c r="F54" i="1" s="1"/>
  <c r="E52" i="1"/>
  <c r="F52" i="1" s="1"/>
  <c r="E51" i="1"/>
  <c r="F51" i="1" s="1"/>
  <c r="D50" i="1"/>
  <c r="C50" i="1"/>
  <c r="C49" i="1"/>
  <c r="F49" i="1" s="1"/>
  <c r="E47" i="1"/>
  <c r="F47" i="1" s="1"/>
  <c r="E46" i="1"/>
  <c r="F46" i="1" s="1"/>
  <c r="E45" i="1"/>
  <c r="F45" i="1" s="1"/>
  <c r="D44" i="1"/>
  <c r="C44" i="1"/>
  <c r="F44" i="1" s="1"/>
  <c r="E43" i="1"/>
  <c r="D43" i="1"/>
  <c r="F43" i="1" s="1"/>
  <c r="D41" i="1"/>
  <c r="C41" i="1"/>
  <c r="F41" i="1" s="1"/>
  <c r="E40" i="1"/>
  <c r="D40" i="1"/>
  <c r="E39" i="1"/>
  <c r="F39" i="1" s="1"/>
  <c r="E38" i="1"/>
  <c r="F38" i="1" s="1"/>
  <c r="E37" i="1"/>
  <c r="F37" i="1" s="1"/>
  <c r="E36" i="1"/>
  <c r="F36" i="1" s="1"/>
  <c r="E35" i="1"/>
  <c r="D35" i="1"/>
  <c r="C35" i="1"/>
  <c r="F35" i="1" s="1"/>
  <c r="E34" i="1"/>
  <c r="F34" i="1" s="1"/>
  <c r="E33" i="1"/>
  <c r="F33" i="1" s="1"/>
  <c r="E32" i="1"/>
  <c r="C32" i="1"/>
  <c r="F32" i="1" s="1"/>
  <c r="E31" i="1"/>
  <c r="F31" i="1" s="1"/>
  <c r="E30" i="1"/>
  <c r="D30" i="1"/>
  <c r="C30" i="1"/>
  <c r="F30" i="1" s="1"/>
  <c r="E29" i="1"/>
  <c r="F29" i="1" s="1"/>
  <c r="E28" i="1"/>
  <c r="F28" i="1" s="1"/>
  <c r="E27" i="1"/>
  <c r="D27" i="1"/>
  <c r="F27" i="1" s="1"/>
  <c r="E26" i="1"/>
  <c r="F26" i="1" s="1"/>
  <c r="E25" i="1"/>
  <c r="F25" i="1" s="1"/>
  <c r="E24" i="1"/>
  <c r="F24" i="1" s="1"/>
  <c r="E23" i="1"/>
  <c r="D23" i="1"/>
  <c r="C23" i="1"/>
  <c r="E22" i="1"/>
  <c r="D22" i="1"/>
  <c r="C22" i="1"/>
  <c r="F22" i="1" s="1"/>
  <c r="E21" i="1"/>
  <c r="F21" i="1" s="1"/>
  <c r="E20" i="1"/>
  <c r="F20" i="1" s="1"/>
  <c r="E19" i="1"/>
  <c r="F19" i="1" s="1"/>
  <c r="E18" i="1"/>
  <c r="D18" i="1"/>
  <c r="C18" i="1"/>
  <c r="F18" i="1" s="1"/>
  <c r="E17" i="1"/>
  <c r="D17" i="1"/>
  <c r="C17" i="1"/>
  <c r="E16" i="1"/>
  <c r="F16" i="1" s="1"/>
  <c r="E15" i="1"/>
  <c r="F15" i="1" s="1"/>
  <c r="E14" i="1"/>
  <c r="F14" i="1" s="1"/>
  <c r="E12" i="1"/>
  <c r="D12" i="1"/>
  <c r="C12" i="1"/>
  <c r="F12" i="1" s="1"/>
  <c r="E11" i="1"/>
  <c r="D11" i="1"/>
  <c r="C11" i="1"/>
  <c r="F11" i="1" s="1"/>
  <c r="E10" i="1"/>
  <c r="D10" i="1"/>
  <c r="C10" i="1"/>
  <c r="E8" i="1"/>
  <c r="D8" i="1"/>
  <c r="C8" i="1"/>
  <c r="F8" i="1" s="1"/>
  <c r="E7" i="1"/>
  <c r="D7" i="1"/>
  <c r="C7" i="1"/>
  <c r="F7" i="1" s="1"/>
  <c r="E6" i="1"/>
  <c r="F6" i="1" s="1"/>
  <c r="E5" i="1"/>
  <c r="D5" i="1"/>
  <c r="C5" i="1"/>
  <c r="F5" i="1" s="1"/>
  <c r="F56" i="1" l="1"/>
  <c r="F10" i="1"/>
  <c r="F23" i="1"/>
  <c r="F17" i="1"/>
  <c r="F40" i="1"/>
  <c r="F50" i="1"/>
  <c r="Q8" i="2"/>
  <c r="M8" i="2"/>
  <c r="I8" i="2"/>
  <c r="E8" i="2"/>
  <c r="Q7" i="2"/>
  <c r="Q6" i="2" s="1"/>
  <c r="M7" i="2"/>
  <c r="M6" i="2" s="1"/>
  <c r="M9" i="2" s="1"/>
  <c r="I7" i="2"/>
  <c r="I6" i="2" s="1"/>
  <c r="E7" i="2"/>
  <c r="P6" i="2"/>
  <c r="P9" i="2" s="1"/>
  <c r="O6" i="2"/>
  <c r="O9" i="2" s="1"/>
  <c r="N6" i="2"/>
  <c r="N9" i="2" s="1"/>
  <c r="L6" i="2"/>
  <c r="L9" i="2" s="1"/>
  <c r="K6" i="2"/>
  <c r="K9" i="2" s="1"/>
  <c r="J6" i="2"/>
  <c r="J9" i="2" s="1"/>
  <c r="H6" i="2"/>
  <c r="H9" i="2" s="1"/>
  <c r="G6" i="2"/>
  <c r="G9" i="2" s="1"/>
  <c r="F6" i="2"/>
  <c r="F9" i="2" s="1"/>
  <c r="D6" i="2"/>
  <c r="D9" i="2" s="1"/>
  <c r="C6" i="2"/>
  <c r="C9" i="2" s="1"/>
  <c r="B6" i="2"/>
  <c r="B9" i="2" s="1"/>
  <c r="R8" i="2" l="1"/>
  <c r="R7" i="2"/>
  <c r="R6" i="2" s="1"/>
  <c r="I9" i="2"/>
  <c r="Q9" i="2"/>
  <c r="E6" i="2"/>
  <c r="E9" i="2" s="1"/>
  <c r="R9" i="2" l="1"/>
</calcChain>
</file>

<file path=xl/sharedStrings.xml><?xml version="1.0" encoding="utf-8"?>
<sst xmlns="http://schemas.openxmlformats.org/spreadsheetml/2006/main" count="104" uniqueCount="100">
  <si>
    <t>AMPLIACIONES Y DISMINUCIONES AUTORIZADAS</t>
  </si>
  <si>
    <t>TRIMESTRE OCTUBRE - DICIEMBRE 2023</t>
  </si>
  <si>
    <t>(Millones de pesos)</t>
  </si>
  <si>
    <t>RAMO</t>
  </si>
  <si>
    <t>OCTUBRE</t>
  </si>
  <si>
    <t>NOVIEMBRE</t>
  </si>
  <si>
    <t>DICIEMBRE</t>
  </si>
  <si>
    <t>TOTAL TRIMESTRE OCTUBRE-DICIEMBRE</t>
  </si>
  <si>
    <t>PODERES Y ENTES AUTÓNOMOS</t>
  </si>
  <si>
    <t>INSTITUTO ESTATAL DE TRANSPARENCIA, ACCESO A LA INFORMACIÓN PÚBLICA Y PROTECCIÓN DE DATOS PERSONALES</t>
  </si>
  <si>
    <t>UNIVERSIDAD AUTÓNOMA DE YUCATÁN</t>
  </si>
  <si>
    <t>GASTO NO PROGRAMABLE</t>
  </si>
  <si>
    <t>JUBILACIONES Y PENSIONES</t>
  </si>
  <si>
    <t>PARTICIPACIONES, APORTACIONES Y TRANSFERENCIAS A MUNICIPIOS</t>
  </si>
  <si>
    <t>DEUDA PÚBLICA</t>
  </si>
  <si>
    <t>PODER EJECUTIVO Y ENTIDADES PARAESTATALES</t>
  </si>
  <si>
    <t>DESPACHO DEL GOBERNADOR</t>
  </si>
  <si>
    <t>SECRETARÍA GENERAL DE GOBIERNO</t>
  </si>
  <si>
    <t>SISTEMA TELE YUCATÁN SA DE CV</t>
  </si>
  <si>
    <t>SECRETARÍA DE OBRAS PÚBLICAS</t>
  </si>
  <si>
    <t>INSTITUTO PARA EL DESARROLLO Y CERTIFICACIÓN DE LA INFRAESTRUCTURA FÍSICA EDUCATIVA Y ELECTRICA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</si>
  <si>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</si>
  <si>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</si>
  <si>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</si>
  <si>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</si>
  <si>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SECRETARÍA DE SEGURIDAD PÚBLICA</t>
  </si>
  <si>
    <t>SECRETARÍA DE EDUCACIÓN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</si>
  <si>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</si>
  <si>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</si>
  <si>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</si>
  <si>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</si>
  <si>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</si>
  <si>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FISCALÍA GENERAL DEL ESTADO</t>
  </si>
  <si>
    <t>SECRETARÍA DE DESARROLLO RURAL</t>
  </si>
  <si>
    <t>SECRETARÍA DE FOMENTO ECONÓMICO Y TRABAJO</t>
  </si>
  <si>
    <t>INSTITUTO YUCATECO DE EMPRENDEDORES</t>
  </si>
  <si>
    <t>AEROPUERTO DE CHICHÉN ITZÁ DEL ESTADO DE YUCATÁN SA DE CV</t>
  </si>
  <si>
    <t>INSTITUTO PROMOTOR DE FERIAS DE YUCATÁN</t>
  </si>
  <si>
    <t>SECRETARÍA DE FOMENTO TURÍSTICO</t>
  </si>
  <si>
    <t>FIDEICOMISO PARA LA PROMOCIÓN TURÍSTICA DEL ESTADO DE YUCATÁN</t>
  </si>
  <si>
    <t>PATRONATO DE LAS UNIDADES DE SERVICIOS CULTURALES Y TURÍSTICOS DEL ESTADO DE YUCATÁN</t>
  </si>
  <si>
    <t>FIDEICOMISO PÚBLICO PARA EL DESARROLLO DEL TURISMO DE REUNIONES EN YUCATÁN</t>
  </si>
  <si>
    <t>SECRETARÍA DE DESARROLLO SUSTENTABLE</t>
  </si>
  <si>
    <t>INSTITUTO DE MOVILIDAD Y DESARROLLO URBANO TERRITORIAL</t>
  </si>
  <si>
    <t>SECRETARÍA DE LA CONTRALORÍA GENERAL</t>
  </si>
  <si>
    <t>SECRETARÍA DE DESARROLLO SOCIAL</t>
  </si>
  <si>
    <t>SISTEMA PARA EL DESARROLLO INTEGRAL DE LA FAMILIA EN YUCATÁN</t>
  </si>
  <si>
    <t>SERVICIOS DE SALUD DE YUCATÁN</t>
  </si>
  <si>
    <t>HOSPITAL DE LA AMISTAD</t>
  </si>
  <si>
    <t>HOSPITAL COMUNITARIO DE TICUL YUCATÁN</t>
  </si>
  <si>
    <t>HOSPITAL COMUNITARIO DE PETO YUCATAN</t>
  </si>
  <si>
    <t>CONSEJERÍA JURÍDICA</t>
  </si>
  <si>
    <t>INSTITUTO DE SEGURIDAD JURÍDICA PATRIMONIAL DE YUCATÁN</t>
  </si>
  <si>
    <t>SECRETARÍA DE LA CULTURA Y LAS ARTES</t>
  </si>
  <si>
    <t>FIDEICOMISO GARANTE DE LA ORQUESTA SINFÓNICA DE YUCATÁN</t>
  </si>
  <si>
    <t>FIDEICOMISO PÚBLICO PARA LA ADMINISTRACIÓN DEL PALACIO DE LA MÚSICA</t>
  </si>
  <si>
    <t>SECRETARÍA DE ADMINISTRACIÓN Y FINANZAS</t>
  </si>
  <si>
    <t>SECRETARIA TÉCNICA DE PLANEACIÓN Y EVALUACIÓN</t>
  </si>
  <si>
    <t>INSTITUTO DE SEGURIDAD SOCIAL DE LOS TRABAJADORES DEL ESTADO DE YUCATÁN</t>
  </si>
  <si>
    <t>FIDEICOMISO PÚBLICO PARA LA ADMINISTRACIÓN DE LA RESERVA TERRITORIAL DE UCÚ</t>
  </si>
  <si>
    <t>SECRETARIA DE INVESTIGACIÓN, INNOVACIÓN Y EDUCACIÓN SUPERIOR</t>
  </si>
  <si>
    <t>UNIVERSIDAD DE LAS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</si>
  <si>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</si>
  <si>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</si>
  <si>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</si>
  <si>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</si>
  <si>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</si>
  <si>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</si>
  <si>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</si>
  <si>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</si>
  <si>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</si>
  <si>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</si>
  <si>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</si>
  <si>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INSTITUTO DE CAPACITACIÓN PARA EL TRABAJO DEL ESTADO DE YUCATÁN</t>
  </si>
  <si>
    <t>PARQUE CIENTÍFICO Y TECNOLÓGICO DE YUCATÁN</t>
  </si>
  <si>
    <t>SECRETARÍA DE LAS MUJERES</t>
  </si>
  <si>
    <t>SECRETARÍA DE PESCA Y ACUACULTURA SUSTENTABLES</t>
  </si>
  <si>
    <t>TOTAL GENERAL</t>
  </si>
  <si>
    <t>Total general</t>
  </si>
  <si>
    <t>AMPLIACIONES NETAS AUTORIZADAS</t>
  </si>
  <si>
    <t>ENERO - DICIEMBRE 2023</t>
  </si>
  <si>
    <t>CONCEPTO</t>
  </si>
  <si>
    <t>ENERO</t>
  </si>
  <si>
    <t>FEBRERO</t>
  </si>
  <si>
    <t>MARZO</t>
  </si>
  <si>
    <t>TOTAL I TRIM</t>
  </si>
  <si>
    <t>ABRIL</t>
  </si>
  <si>
    <t>MAYO</t>
  </si>
  <si>
    <t>JUNIO</t>
  </si>
  <si>
    <t>TOTAL II TRIM</t>
  </si>
  <si>
    <t>JULIO</t>
  </si>
  <si>
    <t>AGOSTO</t>
  </si>
  <si>
    <t>SEPTIEMBRE</t>
  </si>
  <si>
    <t>TOTAL III TRIM</t>
  </si>
  <si>
    <t>TOTAL IV TRIM</t>
  </si>
  <si>
    <t>TOTAL 2023</t>
  </si>
  <si>
    <t>AMPLIACIONES BRUTAS</t>
  </si>
  <si>
    <t>COMPENSADAS CON INGRESOS</t>
  </si>
  <si>
    <t>REDUCIONES</t>
  </si>
  <si>
    <t>AMPLIACIONES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</si>
</sst>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Barlow"/>
    </font>
    <font>
      <b/>
      <sz val="10"/>
      <color theme="1" tint="0.249977111117893"/>
      <name val="Barlow"/>
    </font>
    <font>
      <b/>
      <sz val="12"/>
      <color theme="1" tint="0.249977111117893"/>
      <name val="Barlow"/>
      <family val="3"/>
    </font>
    <font>
      <b/>
      <sz val="11"/>
      <color theme="1" tint="0.249977111117893"/>
      <name val="Barlow"/>
      <family val="3"/>
    </font>
    <font>
      <b/>
      <sz val="10"/>
      <color theme="0"/>
      <name val="Barlow"/>
      <family val="3"/>
    </font>
    <font>
      <b/>
      <sz val="10"/>
      <color theme="1" tint="0.249977111117893"/>
      <name val="Barlow"/>
      <family val="3"/>
    </font>
    <font>
      <sz val="10"/>
      <color theme="1" tint="0.249977111117893"/>
      <name val="Barlo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3" fillId="3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164" fontId="3" fillId="5" borderId="2" xfId="1" applyNumberFormat="1" applyFont="1" applyFill="1" applyBorder="1" applyAlignment="1">
      <alignment vertical="center"/>
    </xf>
    <xf numFmtId="0" fontId="1" fillId="0" borderId="0" xfId="2"/>
    <xf numFmtId="0" fontId="7" fillId="0" borderId="1" xfId="2" applyFont="1" applyBorder="1" applyAlignment="1">
      <alignment wrapText="1"/>
    </xf>
    <xf numFmtId="0" fontId="8" fillId="0" borderId="1" xfId="2" applyFont="1" applyBorder="1" applyAlignment="1">
      <alignment horizontal="left" vertical="center" wrapText="1" indent="1"/>
    </xf>
    <xf numFmtId="0" fontId="0" fillId="0" borderId="0" xfId="2" applyFont="1"/>
    <xf numFmtId="43" fontId="1" fillId="0" borderId="0" xfId="2" applyNumberFormat="1"/>
    <xf numFmtId="43" fontId="1" fillId="0" borderId="0" xfId="1"/>
    <xf numFmtId="165" fontId="1" fillId="0" borderId="0" xfId="2" applyNumberFormat="1"/>
    <xf numFmtId="43" fontId="1" fillId="0" borderId="0" xfId="1" applyFill="1"/>
    <xf numFmtId="164" fontId="0" fillId="0" borderId="0" xfId="0" applyNumberFormat="1"/>
    <xf numFmtId="43" fontId="0" fillId="0" borderId="0" xfId="1" applyFont="1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7" fillId="0" borderId="2" xfId="2" applyNumberFormat="1" applyFont="1" applyBorder="1" applyAlignment="1">
      <alignment horizontal="right" wrapText="1"/>
    </xf>
    <xf numFmtId="4" fontId="7" fillId="7" borderId="2" xfId="2" applyNumberFormat="1" applyFont="1" applyFill="1" applyBorder="1" applyAlignment="1">
      <alignment horizontal="right" wrapText="1"/>
    </xf>
    <xf numFmtId="4" fontId="7" fillId="0" borderId="4" xfId="2" applyNumberFormat="1" applyFont="1" applyBorder="1" applyAlignment="1">
      <alignment horizontal="right" wrapText="1"/>
    </xf>
    <xf numFmtId="4" fontId="8" fillId="0" borderId="2" xfId="2" applyNumberFormat="1" applyFont="1" applyBorder="1" applyAlignment="1">
      <alignment horizontal="right" wrapText="1"/>
    </xf>
    <xf numFmtId="4" fontId="8" fillId="7" borderId="2" xfId="2" applyNumberFormat="1" applyFont="1" applyFill="1" applyBorder="1" applyAlignment="1">
      <alignment horizontal="right" wrapText="1"/>
    </xf>
    <xf numFmtId="4" fontId="8" fillId="0" borderId="4" xfId="2" applyNumberFormat="1" applyFont="1" applyBorder="1" applyAlignment="1">
      <alignment horizontal="right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5" fillId="6" borderId="3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2116455</xdr:colOff>
      <xdr:row>2</xdr:row>
      <xdr:rowOff>169545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28575" y="76200"/>
          <a:ext cx="2849880" cy="645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205740</xdr:colOff>
      <xdr:row>2</xdr:row>
      <xdr:rowOff>205740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2806065" cy="6248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topLeftCell="B1" zoomScaleNormal="100" workbookViewId="0">
      <selection sqref="A1:F1"/>
    </sheetView>
  </sheetViews>
  <sheetFormatPr defaultColWidth="11.42578125" defaultRowHeight="15"/>
  <cols>
    <col min="1" max="1" width="11.42578125" style="5"/>
    <col min="2" max="2" width="109" style="5" bestFit="1" customWidth="1"/>
    <col min="3" max="4" width="15.140625" style="6" bestFit="1" customWidth="1"/>
    <col min="5" max="5" width="22.85546875" style="6" customWidth="1"/>
    <col min="6" max="6" width="20.140625" style="6" customWidth="1"/>
    <col min="7" max="7" width="19.140625" customWidth="1"/>
  </cols>
  <sheetData>
    <row r="1" spans="1:8" ht="21" customHeight="1">
      <c r="A1" s="28" t="s">
        <v>0</v>
      </c>
      <c r="B1" s="28"/>
      <c r="C1" s="28"/>
      <c r="D1" s="28"/>
      <c r="E1" s="28"/>
      <c r="F1" s="28"/>
    </row>
    <row r="2" spans="1:8" ht="22.5" customHeight="1">
      <c r="A2" s="28" t="s">
        <v>1</v>
      </c>
      <c r="B2" s="28"/>
      <c r="C2" s="28"/>
      <c r="D2" s="28"/>
      <c r="E2" s="28"/>
      <c r="F2" s="28"/>
    </row>
    <row r="3" spans="1:8" ht="27" customHeight="1">
      <c r="A3" s="28" t="s">
        <v>2</v>
      </c>
      <c r="B3" s="28"/>
      <c r="C3" s="28"/>
      <c r="D3" s="28"/>
      <c r="E3" s="28"/>
      <c r="F3" s="28"/>
    </row>
    <row r="4" spans="1:8" ht="27.75" customHeight="1">
      <c r="A4" s="1" t="s">
        <v>3</v>
      </c>
      <c r="B4" s="1"/>
      <c r="C4" s="1" t="s">
        <v>4</v>
      </c>
      <c r="D4" s="1" t="s">
        <v>5</v>
      </c>
      <c r="E4" s="1" t="s">
        <v>6</v>
      </c>
      <c r="F4" s="1" t="s">
        <v>7</v>
      </c>
    </row>
    <row r="5" spans="1:8">
      <c r="A5" s="2">
        <v>1</v>
      </c>
      <c r="B5" s="2" t="s">
        <v>8</v>
      </c>
      <c r="C5" s="3">
        <f>1003.34/1000000</f>
        <v>1.0033400000000001E-3</v>
      </c>
      <c r="D5" s="3">
        <f>529.07/1000000</f>
        <v>5.2907000000000008E-4</v>
      </c>
      <c r="E5" s="3">
        <f>-184084969.04/1000000</f>
        <v>-184.08496904</v>
      </c>
      <c r="F5" s="3">
        <f>SUM(C5:E5)</f>
        <v>-184.08343662999999</v>
      </c>
    </row>
    <row r="6" spans="1:8">
      <c r="A6" s="18">
        <v>47</v>
      </c>
      <c r="B6" s="18" t="s">
        <v>9</v>
      </c>
      <c r="C6" s="4">
        <v>0</v>
      </c>
      <c r="D6" s="4">
        <v>0</v>
      </c>
      <c r="E6" s="4">
        <f>-253500/1000000</f>
        <v>-0.2535</v>
      </c>
      <c r="F6" s="4">
        <f>SUM(C6:E6)</f>
        <v>-0.2535</v>
      </c>
    </row>
    <row r="7" spans="1:8">
      <c r="A7" s="18">
        <v>53</v>
      </c>
      <c r="B7" s="18" t="s">
        <v>10</v>
      </c>
      <c r="C7" s="4">
        <f>1003.34/1000000</f>
        <v>1.0033400000000001E-3</v>
      </c>
      <c r="D7" s="4">
        <f>529.07/1000000</f>
        <v>5.2907000000000008E-4</v>
      </c>
      <c r="E7" s="4">
        <f>-183831469.04/1000000</f>
        <v>-183.83146904</v>
      </c>
      <c r="F7" s="4">
        <f>SUM(C7:E7)</f>
        <v>-183.82993662999999</v>
      </c>
    </row>
    <row r="8" spans="1:8">
      <c r="A8" s="19">
        <v>2</v>
      </c>
      <c r="B8" s="19" t="s">
        <v>11</v>
      </c>
      <c r="C8" s="3">
        <f>43366440.43/1000000</f>
        <v>43.366440429999997</v>
      </c>
      <c r="D8" s="3">
        <f>35597613.86/1000000</f>
        <v>35.597613860000003</v>
      </c>
      <c r="E8" s="3">
        <f>-367316296.82/1000000</f>
        <v>-367.31629681999999</v>
      </c>
      <c r="F8" s="3">
        <f>SUM(C8:E8)</f>
        <v>-288.35224253000001</v>
      </c>
    </row>
    <row r="9" spans="1:8">
      <c r="A9" s="18">
        <v>20</v>
      </c>
      <c r="B9" s="18" t="s">
        <v>12</v>
      </c>
      <c r="C9" s="4">
        <v>0</v>
      </c>
      <c r="D9" s="4">
        <v>0</v>
      </c>
      <c r="E9" s="4">
        <v>-9.3714334070682526E-9</v>
      </c>
      <c r="F9" s="4">
        <f>SUM(C9:E9)</f>
        <v>-9.3714334070682526E-9</v>
      </c>
    </row>
    <row r="10" spans="1:8">
      <c r="A10" s="18">
        <v>32</v>
      </c>
      <c r="B10" s="18" t="s">
        <v>13</v>
      </c>
      <c r="C10" s="4">
        <f>34121239.06/1000000</f>
        <v>34.121239060000001</v>
      </c>
      <c r="D10" s="4">
        <f>26626711.3/1000000</f>
        <v>26.6267113</v>
      </c>
      <c r="E10" s="4">
        <f>-377214823.39/1000000</f>
        <v>-377.21482338999999</v>
      </c>
      <c r="F10" s="4">
        <f t="shared" ref="F10:F73" si="0">SUM(C10:E10)</f>
        <v>-316.46687302999999</v>
      </c>
    </row>
    <row r="11" spans="1:8">
      <c r="A11" s="18">
        <v>49</v>
      </c>
      <c r="B11" s="18" t="s">
        <v>14</v>
      </c>
      <c r="C11" s="4">
        <f>9245201.37/1000000</f>
        <v>9.2452013699999984</v>
      </c>
      <c r="D11" s="4">
        <f>8970902.56/1000000</f>
        <v>8.9709025600000007</v>
      </c>
      <c r="E11" s="4">
        <f>9898526.57/1000000</f>
        <v>9.8985265699999996</v>
      </c>
      <c r="F11" s="4">
        <f t="shared" si="0"/>
        <v>28.114630499999997</v>
      </c>
    </row>
    <row r="12" spans="1:8">
      <c r="A12" s="19">
        <v>3</v>
      </c>
      <c r="B12" s="19" t="s">
        <v>15</v>
      </c>
      <c r="C12" s="3">
        <f>319300120.94/1000000</f>
        <v>319.30012094</v>
      </c>
      <c r="D12" s="3">
        <f>458764482.79/1000000</f>
        <v>458.76448279000005</v>
      </c>
      <c r="E12" s="3">
        <f>-5876457405.34/1000000</f>
        <v>-5876.4574053400002</v>
      </c>
      <c r="F12" s="3">
        <f t="shared" si="0"/>
        <v>-5098.3928016099999</v>
      </c>
      <c r="H12" s="16"/>
    </row>
    <row r="13" spans="1:8">
      <c r="A13" s="18">
        <v>3</v>
      </c>
      <c r="B13" s="18" t="s">
        <v>16</v>
      </c>
      <c r="C13" s="4">
        <v>0</v>
      </c>
      <c r="D13" s="4">
        <v>0</v>
      </c>
      <c r="E13" s="4">
        <f>1.00186340659856E-09/1000000</f>
        <v>1.00186340659856E-15</v>
      </c>
      <c r="F13" s="4">
        <f t="shared" si="0"/>
        <v>1.00186340659856E-15</v>
      </c>
    </row>
    <row r="14" spans="1:8">
      <c r="A14" s="18">
        <v>4</v>
      </c>
      <c r="B14" s="18" t="s">
        <v>17</v>
      </c>
      <c r="C14" s="4">
        <v>0</v>
      </c>
      <c r="D14" s="4">
        <v>0</v>
      </c>
      <c r="E14" s="4">
        <f>-9431436.50999999/1000000</f>
        <v>-9.4314365099999904</v>
      </c>
      <c r="F14" s="4">
        <f t="shared" si="0"/>
        <v>-9.4314365099999904</v>
      </c>
    </row>
    <row r="15" spans="1:8">
      <c r="A15" s="18">
        <v>4.29</v>
      </c>
      <c r="B15" s="18" t="s">
        <v>18</v>
      </c>
      <c r="C15" s="4">
        <v>0</v>
      </c>
      <c r="D15" s="4">
        <v>0</v>
      </c>
      <c r="E15" s="4">
        <f>-20277613/1000000</f>
        <v>-20.277612999999999</v>
      </c>
      <c r="F15" s="4">
        <f t="shared" si="0"/>
        <v>-20.277612999999999</v>
      </c>
    </row>
    <row r="16" spans="1:8">
      <c r="A16" s="18">
        <v>7</v>
      </c>
      <c r="B16" s="18" t="s">
        <v>19</v>
      </c>
      <c r="C16" s="4">
        <v>0</v>
      </c>
      <c r="D16" s="4">
        <v>0</v>
      </c>
      <c r="E16" s="4">
        <f>188078.13/1000000</f>
        <v>0.18807813000000001</v>
      </c>
      <c r="F16" s="4">
        <f t="shared" si="0"/>
        <v>0.18807813000000001</v>
      </c>
    </row>
    <row r="17" spans="1:6">
      <c r="A17" s="18">
        <v>7.14</v>
      </c>
      <c r="B17" s="18" t="s">
        <v>20</v>
      </c>
      <c r="C17" s="4">
        <f>8301160.19/1000000</f>
        <v>8.3011601900000009</v>
      </c>
      <c r="D17" s="4">
        <f>300000/1000000</f>
        <v>0.3</v>
      </c>
      <c r="E17" s="4">
        <f>-600000/1000000</f>
        <v>-0.6</v>
      </c>
      <c r="F17" s="4">
        <f t="shared" si="0"/>
        <v>8.001160190000002</v>
      </c>
    </row>
    <row r="18" spans="1:6">
      <c r="A18" s="18">
        <v>7.15</v>
      </c>
      <c r="B18" s="18" t="s">
        <v>21</v>
      </c>
      <c r="C18" s="4">
        <f>55000000/1000000</f>
        <v>55</v>
      </c>
      <c r="D18" s="4">
        <f>152600.79/1000000</f>
        <v>0.15260079000000001</v>
      </c>
      <c r="E18" s="4">
        <f>-12953595/1000000</f>
        <v>-12.953595</v>
      </c>
      <c r="F18" s="4">
        <f t="shared" si="0"/>
        <v>42.199005790000001</v>
      </c>
    </row>
    <row r="19" spans="1:6">
      <c r="A19" s="18">
        <v>7.16</v>
      </c>
      <c r="B19" s="18" t="s">
        <v>22</v>
      </c>
      <c r="C19" s="4">
        <v>0</v>
      </c>
      <c r="D19" s="4">
        <v>0</v>
      </c>
      <c r="E19" s="4">
        <f>-507694542.62/1000000</f>
        <v>-507.69454261999999</v>
      </c>
      <c r="F19" s="4">
        <f t="shared" si="0"/>
        <v>-507.69454261999999</v>
      </c>
    </row>
    <row r="20" spans="1:6">
      <c r="A20" s="18">
        <v>7.18</v>
      </c>
      <c r="B20" s="18" t="s">
        <v>23</v>
      </c>
      <c r="C20" s="4">
        <v>0</v>
      </c>
      <c r="D20" s="4">
        <v>0</v>
      </c>
      <c r="E20" s="4">
        <f>-115000.01/1000000</f>
        <v>-0.11500001</v>
      </c>
      <c r="F20" s="4">
        <f t="shared" si="0"/>
        <v>-0.11500001</v>
      </c>
    </row>
    <row r="21" spans="1:6">
      <c r="A21" s="18">
        <v>7.21</v>
      </c>
      <c r="B21" s="18" t="s">
        <v>24</v>
      </c>
      <c r="C21" s="4">
        <v>0</v>
      </c>
      <c r="D21" s="4">
        <v>0</v>
      </c>
      <c r="E21" s="4">
        <f>-204753655/1000000</f>
        <v>-204.75365500000001</v>
      </c>
      <c r="F21" s="4">
        <f t="shared" si="0"/>
        <v>-204.75365500000001</v>
      </c>
    </row>
    <row r="22" spans="1:6">
      <c r="A22" s="18">
        <v>8</v>
      </c>
      <c r="B22" s="18" t="s">
        <v>25</v>
      </c>
      <c r="C22" s="4">
        <f>223365.07/1000000</f>
        <v>0.22336507</v>
      </c>
      <c r="D22" s="4">
        <f>1492561/1000000</f>
        <v>1.492561</v>
      </c>
      <c r="E22" s="4">
        <f>-126217221.98/1000000</f>
        <v>-126.21722198000001</v>
      </c>
      <c r="F22" s="4">
        <f t="shared" si="0"/>
        <v>-124.50129591000001</v>
      </c>
    </row>
    <row r="23" spans="1:6">
      <c r="A23" s="18">
        <v>9</v>
      </c>
      <c r="B23" s="18" t="s">
        <v>26</v>
      </c>
      <c r="C23" s="4">
        <f>352422.06/1000000</f>
        <v>0.35242205999999998</v>
      </c>
      <c r="D23" s="4">
        <f>271629927.68/1000000</f>
        <v>271.62992767999998</v>
      </c>
      <c r="E23" s="4">
        <f>-711473881.18/1000000</f>
        <v>-711.47388117999992</v>
      </c>
      <c r="F23" s="4">
        <f t="shared" si="0"/>
        <v>-439.49153143999996</v>
      </c>
    </row>
    <row r="24" spans="1:6">
      <c r="A24" s="18">
        <v>9.3000000000000007</v>
      </c>
      <c r="B24" s="18" t="s">
        <v>27</v>
      </c>
      <c r="C24" s="4">
        <v>0</v>
      </c>
      <c r="D24" s="4">
        <v>0</v>
      </c>
      <c r="E24" s="4">
        <f>-8345302/1000000</f>
        <v>-8.3453020000000002</v>
      </c>
      <c r="F24" s="4">
        <f t="shared" si="0"/>
        <v>-8.3453020000000002</v>
      </c>
    </row>
    <row r="25" spans="1:6">
      <c r="A25" s="18">
        <v>9.4600000000000009</v>
      </c>
      <c r="B25" s="18" t="s">
        <v>28</v>
      </c>
      <c r="C25" s="4">
        <v>0</v>
      </c>
      <c r="D25" s="4">
        <v>0</v>
      </c>
      <c r="E25" s="4">
        <f>-21683505.5/1000000</f>
        <v>-21.683505499999999</v>
      </c>
      <c r="F25" s="4">
        <f t="shared" si="0"/>
        <v>-21.683505499999999</v>
      </c>
    </row>
    <row r="26" spans="1:6">
      <c r="A26" s="18">
        <v>9.4700000000000006</v>
      </c>
      <c r="B26" s="18" t="s">
        <v>29</v>
      </c>
      <c r="C26" s="4">
        <v>0</v>
      </c>
      <c r="D26" s="4">
        <v>0</v>
      </c>
      <c r="E26" s="4">
        <f>2122201/1000000</f>
        <v>2.122201</v>
      </c>
      <c r="F26" s="4">
        <f t="shared" si="0"/>
        <v>2.122201</v>
      </c>
    </row>
    <row r="27" spans="1:6">
      <c r="A27" s="18">
        <v>9.48</v>
      </c>
      <c r="B27" s="18" t="s">
        <v>30</v>
      </c>
      <c r="C27" s="4">
        <v>0</v>
      </c>
      <c r="D27" s="4">
        <f>983050.97/1000000</f>
        <v>0.98305096999999997</v>
      </c>
      <c r="E27" s="4">
        <f>-7455333.39/1000000</f>
        <v>-7.4553333899999998</v>
      </c>
      <c r="F27" s="4">
        <f t="shared" si="0"/>
        <v>-6.47228242</v>
      </c>
    </row>
    <row r="28" spans="1:6">
      <c r="A28" s="18">
        <v>9.5</v>
      </c>
      <c r="B28" s="18" t="s">
        <v>31</v>
      </c>
      <c r="C28" s="4">
        <v>0</v>
      </c>
      <c r="D28" s="4">
        <v>0</v>
      </c>
      <c r="E28" s="4">
        <f>-1614532.15/1000000</f>
        <v>-1.6145321499999998</v>
      </c>
      <c r="F28" s="4">
        <f t="shared" si="0"/>
        <v>-1.6145321499999998</v>
      </c>
    </row>
    <row r="29" spans="1:6">
      <c r="A29" s="18">
        <v>10</v>
      </c>
      <c r="B29" s="18" t="s">
        <v>32</v>
      </c>
      <c r="C29" s="4">
        <v>0</v>
      </c>
      <c r="D29" s="4">
        <v>0</v>
      </c>
      <c r="E29" s="4">
        <f>2431909.07000001/1000000</f>
        <v>2.4319090700000099</v>
      </c>
      <c r="F29" s="4">
        <f t="shared" si="0"/>
        <v>2.4319090700000099</v>
      </c>
    </row>
    <row r="30" spans="1:6">
      <c r="A30" s="18">
        <v>11</v>
      </c>
      <c r="B30" s="18" t="s">
        <v>33</v>
      </c>
      <c r="C30" s="4">
        <f>10592401/1000000</f>
        <v>10.592401000000001</v>
      </c>
      <c r="D30" s="4">
        <f>1344101.7/1000000</f>
        <v>1.3441017</v>
      </c>
      <c r="E30" s="4">
        <f>4008286.62000002/1000000</f>
        <v>4.0082866200000202</v>
      </c>
      <c r="F30" s="4">
        <f t="shared" si="0"/>
        <v>15.944789320000019</v>
      </c>
    </row>
    <row r="31" spans="1:6">
      <c r="A31" s="18">
        <v>12</v>
      </c>
      <c r="B31" s="18" t="s">
        <v>34</v>
      </c>
      <c r="C31" s="4">
        <v>0</v>
      </c>
      <c r="D31" s="4">
        <v>0</v>
      </c>
      <c r="E31" s="4">
        <f>-1.86264514923096E-09/1000000</f>
        <v>-1.8626451492309601E-15</v>
      </c>
      <c r="F31" s="4">
        <f t="shared" si="0"/>
        <v>-1.8626451492309601E-15</v>
      </c>
    </row>
    <row r="32" spans="1:6">
      <c r="A32" s="18">
        <v>12.16</v>
      </c>
      <c r="B32" s="18" t="s">
        <v>35</v>
      </c>
      <c r="C32" s="4">
        <f>500000/1000000</f>
        <v>0.5</v>
      </c>
      <c r="D32" s="4">
        <v>0</v>
      </c>
      <c r="E32" s="4">
        <f>-5456400/1000000</f>
        <v>-5.4564000000000004</v>
      </c>
      <c r="F32" s="4">
        <f t="shared" si="0"/>
        <v>-4.9564000000000004</v>
      </c>
    </row>
    <row r="33" spans="1:6">
      <c r="A33" s="18">
        <v>12.21</v>
      </c>
      <c r="B33" s="18" t="s">
        <v>36</v>
      </c>
      <c r="C33" s="4">
        <v>0</v>
      </c>
      <c r="D33" s="4">
        <v>0</v>
      </c>
      <c r="E33" s="4">
        <f>-1190599/1000000</f>
        <v>-1.190599</v>
      </c>
      <c r="F33" s="4">
        <f t="shared" si="0"/>
        <v>-1.190599</v>
      </c>
    </row>
    <row r="34" spans="1:6">
      <c r="A34" s="18">
        <v>12.22</v>
      </c>
      <c r="B34" s="18" t="s">
        <v>37</v>
      </c>
      <c r="C34" s="4">
        <v>0</v>
      </c>
      <c r="D34" s="4">
        <v>0</v>
      </c>
      <c r="E34" s="4">
        <f>-91882312/1000000</f>
        <v>-91.882311999999999</v>
      </c>
      <c r="F34" s="4">
        <f t="shared" si="0"/>
        <v>-91.882311999999999</v>
      </c>
    </row>
    <row r="35" spans="1:6">
      <c r="A35" s="18">
        <v>13</v>
      </c>
      <c r="B35" s="18" t="s">
        <v>38</v>
      </c>
      <c r="C35" s="4">
        <f>12100000/1000000</f>
        <v>12.1</v>
      </c>
      <c r="D35" s="4">
        <f>8436237/1000000</f>
        <v>8.4362370000000002</v>
      </c>
      <c r="E35" s="4">
        <f>-4.65661287307739E-10/1000000</f>
        <v>-4.6566128730773904E-16</v>
      </c>
      <c r="F35" s="4">
        <f t="shared" si="0"/>
        <v>20.536237</v>
      </c>
    </row>
    <row r="36" spans="1:6">
      <c r="A36" s="18">
        <v>13.1</v>
      </c>
      <c r="B36" s="18" t="s">
        <v>39</v>
      </c>
      <c r="C36" s="4">
        <v>0</v>
      </c>
      <c r="D36" s="4">
        <v>0</v>
      </c>
      <c r="E36" s="4">
        <f>-2623088.2/1000000</f>
        <v>-2.6230882000000002</v>
      </c>
      <c r="F36" s="4">
        <f t="shared" si="0"/>
        <v>-2.6230882000000002</v>
      </c>
    </row>
    <row r="37" spans="1:6">
      <c r="A37" s="18">
        <v>13.12</v>
      </c>
      <c r="B37" s="18" t="s">
        <v>40</v>
      </c>
      <c r="C37" s="4">
        <v>0</v>
      </c>
      <c r="D37" s="4">
        <v>0</v>
      </c>
      <c r="E37" s="4">
        <f>-66707250/1000000</f>
        <v>-66.707250000000002</v>
      </c>
      <c r="F37" s="4">
        <f t="shared" si="0"/>
        <v>-66.707250000000002</v>
      </c>
    </row>
    <row r="38" spans="1:6">
      <c r="A38" s="18">
        <v>13.15</v>
      </c>
      <c r="B38" s="18" t="s">
        <v>41</v>
      </c>
      <c r="C38" s="4">
        <v>0</v>
      </c>
      <c r="D38" s="4">
        <v>0</v>
      </c>
      <c r="E38" s="4">
        <f>-31196245.8/1000000</f>
        <v>-31.1962458</v>
      </c>
      <c r="F38" s="4">
        <f t="shared" si="0"/>
        <v>-31.1962458</v>
      </c>
    </row>
    <row r="39" spans="1:6">
      <c r="A39" s="18">
        <v>14</v>
      </c>
      <c r="B39" s="18" t="s">
        <v>42</v>
      </c>
      <c r="C39" s="4">
        <v>0</v>
      </c>
      <c r="D39" s="4">
        <v>0</v>
      </c>
      <c r="E39" s="4">
        <f>-5069069.78/1000000</f>
        <v>-5.0690697800000004</v>
      </c>
      <c r="F39" s="4">
        <f t="shared" si="0"/>
        <v>-5.0690697800000004</v>
      </c>
    </row>
    <row r="40" spans="1:6">
      <c r="A40" s="18">
        <v>14.13</v>
      </c>
      <c r="B40" s="18" t="s">
        <v>43</v>
      </c>
      <c r="C40" s="4">
        <v>0</v>
      </c>
      <c r="D40" s="4">
        <f>16500000/1000000</f>
        <v>16.5</v>
      </c>
      <c r="E40" s="4">
        <f>-2040053437.98/1000000</f>
        <v>-2040.0534379800001</v>
      </c>
      <c r="F40" s="4">
        <f t="shared" si="0"/>
        <v>-2023.5534379800001</v>
      </c>
    </row>
    <row r="41" spans="1:6">
      <c r="A41" s="18">
        <v>15</v>
      </c>
      <c r="B41" s="18" t="s">
        <v>44</v>
      </c>
      <c r="C41" s="4">
        <f>356654.85/1000000</f>
        <v>0.35665484999999997</v>
      </c>
      <c r="D41" s="4">
        <f>630448.61/1000000</f>
        <v>0.63044860999999996</v>
      </c>
      <c r="E41" s="4">
        <f>-2750723.54000001/1000000</f>
        <v>-2.7507235400000098</v>
      </c>
      <c r="F41" s="4">
        <f t="shared" si="0"/>
        <v>-1.7636200800000099</v>
      </c>
    </row>
    <row r="42" spans="1:6">
      <c r="A42" s="18">
        <v>17</v>
      </c>
      <c r="B42" s="18" t="s">
        <v>45</v>
      </c>
      <c r="C42" s="4">
        <v>0</v>
      </c>
      <c r="D42" s="4">
        <v>0</v>
      </c>
      <c r="E42" s="4">
        <f>-56247061.51/1000000</f>
        <v>-56.247061509999995</v>
      </c>
      <c r="F42" s="4">
        <f t="shared" si="0"/>
        <v>-56.247061509999995</v>
      </c>
    </row>
    <row r="43" spans="1:6">
      <c r="A43" s="18">
        <v>17.14</v>
      </c>
      <c r="B43" s="18" t="s">
        <v>46</v>
      </c>
      <c r="C43" s="4">
        <v>0</v>
      </c>
      <c r="D43" s="4">
        <f>20099.98/1000000</f>
        <v>2.009998E-2</v>
      </c>
      <c r="E43" s="4">
        <f>-9142869/1000000</f>
        <v>-9.1428689999999992</v>
      </c>
      <c r="F43" s="4">
        <f t="shared" si="0"/>
        <v>-9.1227690199999998</v>
      </c>
    </row>
    <row r="44" spans="1:6">
      <c r="A44" s="18">
        <v>18.2</v>
      </c>
      <c r="B44" s="18" t="s">
        <v>47</v>
      </c>
      <c r="C44" s="4">
        <f>1371921.25/1000000</f>
        <v>1.37192125</v>
      </c>
      <c r="D44" s="4">
        <f>2187/10000000</f>
        <v>2.187E-4</v>
      </c>
      <c r="E44" s="4">
        <f>43469954.02/1000000</f>
        <v>43.469954020000003</v>
      </c>
      <c r="F44" s="4">
        <f t="shared" si="0"/>
        <v>44.842093970000001</v>
      </c>
    </row>
    <row r="45" spans="1:6">
      <c r="A45" s="18">
        <v>18.5</v>
      </c>
      <c r="B45" s="18" t="s">
        <v>48</v>
      </c>
      <c r="C45" s="4">
        <v>0</v>
      </c>
      <c r="D45" s="4">
        <v>0</v>
      </c>
      <c r="E45" s="4">
        <f>-3062381/1000000</f>
        <v>-3.0623809999999998</v>
      </c>
      <c r="F45" s="4">
        <f t="shared" si="0"/>
        <v>-3.0623809999999998</v>
      </c>
    </row>
    <row r="46" spans="1:6">
      <c r="A46" s="18">
        <v>18.600000000000001</v>
      </c>
      <c r="B46" s="18" t="s">
        <v>49</v>
      </c>
      <c r="C46" s="4">
        <v>0</v>
      </c>
      <c r="D46" s="4">
        <v>0</v>
      </c>
      <c r="E46" s="4">
        <f>-6820528/1000000</f>
        <v>-6.8205280000000004</v>
      </c>
      <c r="F46" s="4">
        <f t="shared" si="0"/>
        <v>-6.8205280000000004</v>
      </c>
    </row>
    <row r="47" spans="1:6">
      <c r="A47" s="18">
        <v>18.7</v>
      </c>
      <c r="B47" s="18" t="s">
        <v>50</v>
      </c>
      <c r="C47" s="4">
        <v>0</v>
      </c>
      <c r="D47" s="4">
        <v>0</v>
      </c>
      <c r="E47" s="4">
        <f>-10762571/1000000</f>
        <v>-10.762570999999999</v>
      </c>
      <c r="F47" s="4">
        <f t="shared" si="0"/>
        <v>-10.762570999999999</v>
      </c>
    </row>
    <row r="48" spans="1:6">
      <c r="A48" s="18">
        <v>50</v>
      </c>
      <c r="B48" s="18" t="s">
        <v>51</v>
      </c>
      <c r="C48" s="4">
        <v>0</v>
      </c>
      <c r="D48" s="4">
        <v>0</v>
      </c>
      <c r="E48" s="4">
        <f>-149434.27/1000000</f>
        <v>-0.14943426999999998</v>
      </c>
      <c r="F48" s="4">
        <f t="shared" si="0"/>
        <v>-0.14943426999999998</v>
      </c>
    </row>
    <row r="49" spans="1:6">
      <c r="A49" s="18">
        <v>50.13</v>
      </c>
      <c r="B49" s="18" t="s">
        <v>52</v>
      </c>
      <c r="C49" s="4">
        <f>1223550.28/1000000</f>
        <v>1.22355028</v>
      </c>
      <c r="D49" s="4">
        <v>0</v>
      </c>
      <c r="E49" s="4">
        <v>0</v>
      </c>
      <c r="F49" s="4">
        <f t="shared" si="0"/>
        <v>1.22355028</v>
      </c>
    </row>
    <row r="50" spans="1:6">
      <c r="A50" s="18">
        <v>54</v>
      </c>
      <c r="B50" s="18" t="s">
        <v>53</v>
      </c>
      <c r="C50" s="4">
        <f>217191492.8/1000000</f>
        <v>217.19149280000002</v>
      </c>
      <c r="D50" s="4">
        <f>2185401.72/1000000</f>
        <v>2.1854017200000002</v>
      </c>
      <c r="E50" s="4">
        <f>-93537.2399999972/1000000</f>
        <v>-9.353723999999719E-2</v>
      </c>
      <c r="F50" s="4">
        <f t="shared" si="0"/>
        <v>219.28335728000002</v>
      </c>
    </row>
    <row r="51" spans="1:6">
      <c r="A51" s="18">
        <v>54.1</v>
      </c>
      <c r="B51" s="18" t="s">
        <v>54</v>
      </c>
      <c r="C51" s="4">
        <v>0</v>
      </c>
      <c r="D51" s="4">
        <v>0</v>
      </c>
      <c r="E51" s="4">
        <f>-20206372/1000000</f>
        <v>-20.206372000000002</v>
      </c>
      <c r="F51" s="4">
        <f t="shared" si="0"/>
        <v>-20.206372000000002</v>
      </c>
    </row>
    <row r="52" spans="1:6">
      <c r="A52" s="18">
        <v>54.2</v>
      </c>
      <c r="B52" s="18" t="s">
        <v>55</v>
      </c>
      <c r="C52" s="4">
        <v>0</v>
      </c>
      <c r="D52" s="4">
        <v>0</v>
      </c>
      <c r="E52" s="4">
        <f>-2972600/1000000</f>
        <v>-2.9725999999999999</v>
      </c>
      <c r="F52" s="4">
        <f t="shared" si="0"/>
        <v>-2.9725999999999999</v>
      </c>
    </row>
    <row r="53" spans="1:6">
      <c r="A53" s="18">
        <v>55</v>
      </c>
      <c r="B53" s="18" t="s">
        <v>56</v>
      </c>
      <c r="C53" s="4">
        <f>12000000/1000000</f>
        <v>12</v>
      </c>
      <c r="D53" s="4">
        <v>0</v>
      </c>
      <c r="E53" s="4">
        <f>8498019.54999997/1000000</f>
        <v>8.4980195499999684</v>
      </c>
      <c r="F53" s="4">
        <f t="shared" si="0"/>
        <v>20.498019549999967</v>
      </c>
    </row>
    <row r="54" spans="1:6">
      <c r="A54" s="18">
        <v>55.22</v>
      </c>
      <c r="B54" s="18" t="s">
        <v>57</v>
      </c>
      <c r="C54" s="4">
        <v>0</v>
      </c>
      <c r="D54" s="4">
        <v>0</v>
      </c>
      <c r="E54" s="4">
        <f>-229650/1000000</f>
        <v>-0.22964999999999999</v>
      </c>
      <c r="F54" s="4">
        <f t="shared" si="0"/>
        <v>-0.22964999999999999</v>
      </c>
    </row>
    <row r="55" spans="1:6">
      <c r="A55" s="18">
        <v>55.3</v>
      </c>
      <c r="B55" s="18" t="s">
        <v>58</v>
      </c>
      <c r="C55" s="4">
        <v>0</v>
      </c>
      <c r="D55" s="4">
        <v>0</v>
      </c>
      <c r="E55" s="4">
        <f>-1851035123/1000000</f>
        <v>-1851.0351230000001</v>
      </c>
      <c r="F55" s="4">
        <f t="shared" si="0"/>
        <v>-1851.0351230000001</v>
      </c>
    </row>
    <row r="56" spans="1:6">
      <c r="A56" s="18">
        <v>55.31</v>
      </c>
      <c r="B56" s="18" t="s">
        <v>59</v>
      </c>
      <c r="C56" s="4">
        <v>0</v>
      </c>
      <c r="D56" s="4">
        <f>154151536.78/1000000</f>
        <v>154.15153678000001</v>
      </c>
      <c r="E56" s="4">
        <f>-25000000/1000000</f>
        <v>-25</v>
      </c>
      <c r="F56" s="4">
        <f t="shared" si="0"/>
        <v>129.15153678000001</v>
      </c>
    </row>
    <row r="57" spans="1:6">
      <c r="A57" s="18">
        <v>56</v>
      </c>
      <c r="B57" s="18" t="s">
        <v>60</v>
      </c>
      <c r="C57" s="4">
        <f>124125.44/1000000</f>
        <v>0.12412544</v>
      </c>
      <c r="D57" s="4">
        <v>0</v>
      </c>
      <c r="E57" s="4">
        <f>-1797166.98/1000000</f>
        <v>-1.7971669800000001</v>
      </c>
      <c r="F57" s="4">
        <f t="shared" si="0"/>
        <v>-1.67304154</v>
      </c>
    </row>
    <row r="58" spans="1:6">
      <c r="A58" s="18">
        <v>56.11</v>
      </c>
      <c r="B58" s="18" t="s">
        <v>61</v>
      </c>
      <c r="C58" s="4">
        <v>0</v>
      </c>
      <c r="D58" s="4">
        <v>0</v>
      </c>
      <c r="E58" s="4">
        <f>-4770636/1000000</f>
        <v>-4.7706359999999997</v>
      </c>
      <c r="F58" s="4">
        <f t="shared" si="0"/>
        <v>-4.7706359999999997</v>
      </c>
    </row>
    <row r="59" spans="1:6">
      <c r="A59" s="18">
        <v>56.12</v>
      </c>
      <c r="B59" s="18" t="s">
        <v>62</v>
      </c>
      <c r="C59" s="4">
        <v>0</v>
      </c>
      <c r="D59" s="4">
        <v>0</v>
      </c>
      <c r="E59" s="4">
        <f>-25274381/1000000</f>
        <v>-25.274381000000002</v>
      </c>
      <c r="F59" s="4">
        <f t="shared" si="0"/>
        <v>-25.274381000000002</v>
      </c>
    </row>
    <row r="60" spans="1:6">
      <c r="A60" s="18">
        <v>56.13</v>
      </c>
      <c r="B60" s="18" t="s">
        <v>63</v>
      </c>
      <c r="C60" s="4">
        <v>0</v>
      </c>
      <c r="D60" s="4">
        <v>0</v>
      </c>
      <c r="E60" s="4">
        <f>-5980605/1000000</f>
        <v>-5.9806049999999997</v>
      </c>
      <c r="F60" s="4">
        <f t="shared" si="0"/>
        <v>-5.9806049999999997</v>
      </c>
    </row>
    <row r="61" spans="1:6">
      <c r="A61" s="18">
        <v>56.14</v>
      </c>
      <c r="B61" s="18" t="s">
        <v>64</v>
      </c>
      <c r="C61" s="4">
        <v>0</v>
      </c>
      <c r="D61" s="4">
        <v>0</v>
      </c>
      <c r="E61" s="4">
        <f>-1910000/1000000</f>
        <v>-1.91</v>
      </c>
      <c r="F61" s="4">
        <f t="shared" si="0"/>
        <v>-1.91</v>
      </c>
    </row>
    <row r="62" spans="1:6">
      <c r="A62" s="18">
        <v>56.15</v>
      </c>
      <c r="B62" s="18" t="s">
        <v>65</v>
      </c>
      <c r="C62" s="4">
        <v>0</v>
      </c>
      <c r="D62" s="4">
        <v>0</v>
      </c>
      <c r="E62" s="4">
        <f>-399800/1000000</f>
        <v>-0.39979999999999999</v>
      </c>
      <c r="F62" s="4">
        <f t="shared" si="0"/>
        <v>-0.39979999999999999</v>
      </c>
    </row>
    <row r="63" spans="1:6">
      <c r="A63" s="18">
        <v>56.16</v>
      </c>
      <c r="B63" s="18" t="s">
        <v>66</v>
      </c>
      <c r="C63" s="4">
        <v>0</v>
      </c>
      <c r="D63" s="4">
        <f>13025.56/1000000</f>
        <v>1.302556E-2</v>
      </c>
      <c r="E63" s="4">
        <f>-1419071/1000000</f>
        <v>-1.419071</v>
      </c>
      <c r="F63" s="4">
        <f t="shared" si="0"/>
        <v>-1.40604544</v>
      </c>
    </row>
    <row r="64" spans="1:6">
      <c r="A64" s="18">
        <v>56.18</v>
      </c>
      <c r="B64" s="18" t="s">
        <v>67</v>
      </c>
      <c r="C64" s="4">
        <v>0</v>
      </c>
      <c r="D64" s="4">
        <v>0</v>
      </c>
      <c r="E64" s="4">
        <f>-4080000/1000000</f>
        <v>-4.08</v>
      </c>
      <c r="F64" s="4">
        <f t="shared" si="0"/>
        <v>-4.08</v>
      </c>
    </row>
    <row r="65" spans="1:6">
      <c r="A65" s="18">
        <v>56.19</v>
      </c>
      <c r="B65" s="18" t="s">
        <v>68</v>
      </c>
      <c r="C65" s="4">
        <v>0</v>
      </c>
      <c r="D65" s="4">
        <v>0</v>
      </c>
      <c r="E65" s="4">
        <f>-3800000/1000000</f>
        <v>-3.8</v>
      </c>
      <c r="F65" s="4">
        <f t="shared" si="0"/>
        <v>-3.8</v>
      </c>
    </row>
    <row r="66" spans="1:6">
      <c r="A66" s="18">
        <v>56.2</v>
      </c>
      <c r="B66" s="18" t="s">
        <v>69</v>
      </c>
      <c r="C66" s="4">
        <v>0</v>
      </c>
      <c r="D66" s="4">
        <v>0</v>
      </c>
      <c r="E66" s="4">
        <f>-4493971/1000000</f>
        <v>-4.4939710000000002</v>
      </c>
      <c r="F66" s="4">
        <f t="shared" si="0"/>
        <v>-4.4939710000000002</v>
      </c>
    </row>
    <row r="67" spans="1:6">
      <c r="A67" s="18">
        <v>56.21</v>
      </c>
      <c r="B67" s="18" t="s">
        <v>70</v>
      </c>
      <c r="C67" s="4">
        <v>0</v>
      </c>
      <c r="D67" s="4">
        <f>923304/1000000</f>
        <v>0.92330400000000001</v>
      </c>
      <c r="E67" s="4">
        <f>-4459348/1000000</f>
        <v>-4.4593480000000003</v>
      </c>
      <c r="F67" s="4">
        <f t="shared" si="0"/>
        <v>-3.5360440000000004</v>
      </c>
    </row>
    <row r="68" spans="1:6">
      <c r="A68" s="18">
        <v>56.22</v>
      </c>
      <c r="B68" s="18" t="s">
        <v>71</v>
      </c>
      <c r="C68" s="4">
        <v>0</v>
      </c>
      <c r="D68" s="4">
        <v>0</v>
      </c>
      <c r="E68" s="4">
        <f>-3993470/1000000</f>
        <v>-3.9934699999999999</v>
      </c>
      <c r="F68" s="4">
        <f t="shared" si="0"/>
        <v>-3.9934699999999999</v>
      </c>
    </row>
    <row r="69" spans="1:6">
      <c r="A69" s="18">
        <v>56.23</v>
      </c>
      <c r="B69" s="18" t="s">
        <v>72</v>
      </c>
      <c r="C69" s="4">
        <f>-36972/1000000</f>
        <v>-3.6971999999999998E-2</v>
      </c>
      <c r="D69" s="4">
        <v>0</v>
      </c>
      <c r="E69" s="4">
        <f>-5342603.35/1000000</f>
        <v>-5.3426033499999992</v>
      </c>
      <c r="F69" s="4">
        <f t="shared" si="0"/>
        <v>-5.3795753499999988</v>
      </c>
    </row>
    <row r="70" spans="1:6">
      <c r="A70" s="18">
        <v>56.26</v>
      </c>
      <c r="B70" s="18" t="s">
        <v>73</v>
      </c>
      <c r="C70" s="4">
        <v>0</v>
      </c>
      <c r="D70" s="4">
        <v>0</v>
      </c>
      <c r="E70" s="4">
        <f>-828566.2/1000000</f>
        <v>-0.82856619999999992</v>
      </c>
      <c r="F70" s="4">
        <f t="shared" si="0"/>
        <v>-0.82856619999999992</v>
      </c>
    </row>
    <row r="71" spans="1:6">
      <c r="A71" s="18">
        <v>56.5</v>
      </c>
      <c r="B71" s="18" t="s">
        <v>74</v>
      </c>
      <c r="C71" s="4">
        <v>0</v>
      </c>
      <c r="D71" s="4">
        <v>0</v>
      </c>
      <c r="E71" s="4">
        <f>-566861/1000000</f>
        <v>-0.56686099999999995</v>
      </c>
      <c r="F71" s="4">
        <f t="shared" si="0"/>
        <v>-0.56686099999999995</v>
      </c>
    </row>
    <row r="72" spans="1:6">
      <c r="A72" s="18">
        <v>59</v>
      </c>
      <c r="B72" s="18" t="s">
        <v>75</v>
      </c>
      <c r="C72" s="4">
        <v>0</v>
      </c>
      <c r="D72" s="4">
        <v>0</v>
      </c>
      <c r="E72" s="4">
        <f>-2792502.54/1000000</f>
        <v>-2.7925025400000001</v>
      </c>
      <c r="F72" s="4">
        <f t="shared" si="0"/>
        <v>-2.7925025400000001</v>
      </c>
    </row>
    <row r="73" spans="1:6">
      <c r="A73" s="18">
        <v>60</v>
      </c>
      <c r="B73" s="18" t="s">
        <v>76</v>
      </c>
      <c r="C73" s="4">
        <v>0</v>
      </c>
      <c r="D73" s="4">
        <v>0</v>
      </c>
      <c r="E73" s="4">
        <v>5.6566128730773902E-10</v>
      </c>
      <c r="F73" s="4">
        <f t="shared" si="0"/>
        <v>5.6566128730773902E-10</v>
      </c>
    </row>
    <row r="74" spans="1:6">
      <c r="A74" s="26" t="s">
        <v>77</v>
      </c>
      <c r="B74" s="27" t="s">
        <v>78</v>
      </c>
      <c r="C74" s="7">
        <f>362667564.71/1000000</f>
        <v>362.66756470999997</v>
      </c>
      <c r="D74" s="7">
        <f>494362625.72/1000000</f>
        <v>494.36262572000004</v>
      </c>
      <c r="E74" s="7">
        <f>-6427858671.2/1000000</f>
        <v>-6427.8586711999997</v>
      </c>
      <c r="F74" s="7">
        <f t="shared" ref="F74" si="1">SUM(C74:E74)</f>
        <v>-5570.8284807700002</v>
      </c>
    </row>
    <row r="76" spans="1:6">
      <c r="A76"/>
      <c r="B76"/>
      <c r="C76" s="17"/>
      <c r="D76" s="17"/>
      <c r="E76" s="17"/>
      <c r="F76" s="17"/>
    </row>
  </sheetData>
  <mergeCells count="4">
    <mergeCell ref="A74:B74"/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9"/>
  <sheetViews>
    <sheetView showGridLines="0" zoomScaleNormal="100" workbookViewId="0">
      <selection sqref="A1:R1"/>
    </sheetView>
  </sheetViews>
  <sheetFormatPr defaultColWidth="11.42578125" defaultRowHeight="15"/>
  <cols>
    <col min="1" max="1" width="31.140625" style="8" customWidth="1"/>
    <col min="2" max="2" width="7.85546875" style="8" customWidth="1"/>
    <col min="3" max="3" width="10.140625" style="8" customWidth="1"/>
    <col min="4" max="4" width="8.7109375" style="8" customWidth="1"/>
    <col min="5" max="5" width="11.42578125" style="8" customWidth="1"/>
    <col min="6" max="6" width="10.7109375" style="8" customWidth="1"/>
    <col min="7" max="7" width="9.7109375" style="8" customWidth="1"/>
    <col min="8" max="8" width="8" style="8" customWidth="1"/>
    <col min="9" max="9" width="11.42578125" style="8" customWidth="1"/>
    <col min="10" max="10" width="8.85546875" style="8" customWidth="1"/>
    <col min="11" max="11" width="8.7109375" style="8" customWidth="1"/>
    <col min="12" max="12" width="11.7109375" style="8" customWidth="1"/>
    <col min="13" max="13" width="11.42578125" style="8" customWidth="1"/>
    <col min="14" max="16" width="11.28515625" style="8" customWidth="1"/>
    <col min="17" max="17" width="11.42578125" style="8" customWidth="1"/>
    <col min="18" max="18" width="17.140625" style="8" customWidth="1"/>
    <col min="19" max="19" width="20.5703125" style="8" customWidth="1"/>
    <col min="20" max="20" width="15.140625" style="8" bestFit="1" customWidth="1"/>
    <col min="21" max="21" width="14.140625" style="8" bestFit="1" customWidth="1"/>
    <col min="22" max="16384" width="11.42578125" style="8"/>
  </cols>
  <sheetData>
    <row r="1" spans="1:21" ht="16.899999999999999" customHeight="1">
      <c r="A1" s="30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1" ht="16.899999999999999" customHeight="1">
      <c r="A2" s="32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1" ht="16.899999999999999" customHeight="1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1" ht="15" customHeight="1">
      <c r="A4" s="29" t="s">
        <v>81</v>
      </c>
      <c r="B4" s="29" t="s">
        <v>82</v>
      </c>
      <c r="C4" s="29" t="s">
        <v>83</v>
      </c>
      <c r="D4" s="29" t="s">
        <v>84</v>
      </c>
      <c r="E4" s="29" t="s">
        <v>85</v>
      </c>
      <c r="F4" s="29" t="s">
        <v>86</v>
      </c>
      <c r="G4" s="29" t="s">
        <v>87</v>
      </c>
      <c r="H4" s="29" t="s">
        <v>88</v>
      </c>
      <c r="I4" s="29" t="s">
        <v>89</v>
      </c>
      <c r="J4" s="29" t="s">
        <v>90</v>
      </c>
      <c r="K4" s="29" t="s">
        <v>91</v>
      </c>
      <c r="L4" s="29" t="s">
        <v>92</v>
      </c>
      <c r="M4" s="29" t="s">
        <v>93</v>
      </c>
      <c r="N4" s="29" t="s">
        <v>4</v>
      </c>
      <c r="O4" s="29" t="s">
        <v>5</v>
      </c>
      <c r="P4" s="29" t="s">
        <v>6</v>
      </c>
      <c r="Q4" s="29" t="s">
        <v>94</v>
      </c>
      <c r="R4" s="29" t="s">
        <v>95</v>
      </c>
    </row>
    <row r="5" spans="1:2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1">
      <c r="A6" s="9" t="s">
        <v>96</v>
      </c>
      <c r="B6" s="20">
        <f t="shared" ref="B6:P6" si="0">SUM(B7:B7)</f>
        <v>128.21</v>
      </c>
      <c r="C6" s="20">
        <f>SUM(C7:C7)</f>
        <v>170.77</v>
      </c>
      <c r="D6" s="20">
        <f>SUM(D7:D7)</f>
        <v>255.25</v>
      </c>
      <c r="E6" s="21">
        <f>SUM(E7:E7)</f>
        <v>554.23</v>
      </c>
      <c r="F6" s="20">
        <f t="shared" si="0"/>
        <v>537.72</v>
      </c>
      <c r="G6" s="20">
        <f t="shared" si="0"/>
        <v>161.35</v>
      </c>
      <c r="H6" s="20">
        <f>SUM(H7:H7)</f>
        <v>275.45</v>
      </c>
      <c r="I6" s="21">
        <f>SUM(I7:I7)</f>
        <v>974.52</v>
      </c>
      <c r="J6" s="20">
        <f>SUM(J7:J7)</f>
        <v>232.49</v>
      </c>
      <c r="K6" s="20">
        <f t="shared" si="0"/>
        <v>166.24</v>
      </c>
      <c r="L6" s="20">
        <f t="shared" si="0"/>
        <v>137.03</v>
      </c>
      <c r="M6" s="21">
        <f>SUM(M7:M7)</f>
        <v>535.76</v>
      </c>
      <c r="N6" s="20">
        <f t="shared" si="0"/>
        <v>359.35</v>
      </c>
      <c r="O6" s="20">
        <f t="shared" si="0"/>
        <v>487.08349413999997</v>
      </c>
      <c r="P6" s="20">
        <f t="shared" si="0"/>
        <v>916.07710357000303</v>
      </c>
      <c r="Q6" s="21">
        <f>SUM(Q7:Q7)</f>
        <v>1762.5105977100029</v>
      </c>
      <c r="R6" s="22">
        <f>SUM(R7:R7)</f>
        <v>3827.0205977100031</v>
      </c>
    </row>
    <row r="7" spans="1:21">
      <c r="A7" s="10" t="s">
        <v>97</v>
      </c>
      <c r="B7" s="23">
        <v>128.21</v>
      </c>
      <c r="C7" s="23">
        <v>170.77</v>
      </c>
      <c r="D7" s="23">
        <v>255.25</v>
      </c>
      <c r="E7" s="24">
        <f>B7+C7+D7</f>
        <v>554.23</v>
      </c>
      <c r="F7" s="23">
        <v>537.72</v>
      </c>
      <c r="G7" s="23">
        <v>161.35</v>
      </c>
      <c r="H7" s="23">
        <v>275.45</v>
      </c>
      <c r="I7" s="24">
        <f>SUM(F7:H7)</f>
        <v>974.52</v>
      </c>
      <c r="J7" s="23">
        <v>232.49</v>
      </c>
      <c r="K7" s="23">
        <v>166.24</v>
      </c>
      <c r="L7" s="23">
        <v>137.03</v>
      </c>
      <c r="M7" s="24">
        <f>SUM(J7:L7)</f>
        <v>535.76</v>
      </c>
      <c r="N7" s="23">
        <v>359.35</v>
      </c>
      <c r="O7" s="23">
        <v>487.08349413999997</v>
      </c>
      <c r="P7" s="23">
        <v>916.07710357000303</v>
      </c>
      <c r="Q7" s="24">
        <f>SUM(N7:P7)</f>
        <v>1762.5105977100029</v>
      </c>
      <c r="R7" s="25">
        <f>SUM(E7+I7+M7+Q7)</f>
        <v>3827.0205977100031</v>
      </c>
      <c r="S7" s="11"/>
      <c r="U7" s="12"/>
    </row>
    <row r="8" spans="1:21" ht="15.75" customHeight="1">
      <c r="A8" s="9" t="s">
        <v>98</v>
      </c>
      <c r="B8" s="20">
        <v>0</v>
      </c>
      <c r="C8" s="20">
        <v>0</v>
      </c>
      <c r="D8" s="20">
        <v>0</v>
      </c>
      <c r="E8" s="21">
        <f>SUM(B8:D8)</f>
        <v>0</v>
      </c>
      <c r="F8" s="20">
        <v>0</v>
      </c>
      <c r="G8" s="20">
        <v>0.55000000000000004</v>
      </c>
      <c r="H8" s="20">
        <v>0</v>
      </c>
      <c r="I8" s="21">
        <f>SUM(F8:H8)</f>
        <v>0.55000000000000004</v>
      </c>
      <c r="J8" s="20">
        <v>0</v>
      </c>
      <c r="K8" s="20">
        <v>1.8</v>
      </c>
      <c r="L8" s="20">
        <v>0</v>
      </c>
      <c r="M8" s="21">
        <f>SUM(J8:L8)</f>
        <v>1.8</v>
      </c>
      <c r="N8" s="20">
        <v>0</v>
      </c>
      <c r="O8" s="20">
        <v>0</v>
      </c>
      <c r="P8" s="20">
        <v>1314.11090829</v>
      </c>
      <c r="Q8" s="21">
        <f>SUM(N8:P8)</f>
        <v>1314.11090829</v>
      </c>
      <c r="R8" s="22">
        <f>SUM(E8+I8+M8+Q8)</f>
        <v>1316.4609082899999</v>
      </c>
    </row>
    <row r="9" spans="1:21">
      <c r="A9" s="9" t="s">
        <v>99</v>
      </c>
      <c r="B9" s="20">
        <f t="shared" ref="B9:R9" si="1">+B6-B8</f>
        <v>128.21</v>
      </c>
      <c r="C9" s="20">
        <f>+C6-C8</f>
        <v>170.77</v>
      </c>
      <c r="D9" s="20">
        <f>+D6-D8</f>
        <v>255.25</v>
      </c>
      <c r="E9" s="21">
        <f t="shared" si="1"/>
        <v>554.23</v>
      </c>
      <c r="F9" s="20">
        <f>+F6-F8</f>
        <v>537.72</v>
      </c>
      <c r="G9" s="20">
        <f>+G6-G8</f>
        <v>160.79999999999998</v>
      </c>
      <c r="H9" s="20">
        <f>+H6-H8</f>
        <v>275.45</v>
      </c>
      <c r="I9" s="21">
        <f>+I6-I8</f>
        <v>973.97</v>
      </c>
      <c r="J9" s="20">
        <f>+J6-J8</f>
        <v>232.49</v>
      </c>
      <c r="K9" s="20">
        <f t="shared" si="1"/>
        <v>164.44</v>
      </c>
      <c r="L9" s="20">
        <f t="shared" si="1"/>
        <v>137.03</v>
      </c>
      <c r="M9" s="21">
        <f t="shared" si="1"/>
        <v>533.96</v>
      </c>
      <c r="N9" s="20">
        <f>+N6-N8</f>
        <v>359.35</v>
      </c>
      <c r="O9" s="20">
        <f t="shared" si="1"/>
        <v>487.08349413999997</v>
      </c>
      <c r="P9" s="20">
        <f>+P6-P8</f>
        <v>-398.03380471999697</v>
      </c>
      <c r="Q9" s="21">
        <f>+Q6-Q8</f>
        <v>448.39968942000291</v>
      </c>
      <c r="R9" s="22">
        <f t="shared" si="1"/>
        <v>2510.5596894200035</v>
      </c>
    </row>
    <row r="11" spans="1:21">
      <c r="A11" s="13"/>
      <c r="M11" s="14"/>
      <c r="S11" s="15"/>
      <c r="T11" s="15"/>
      <c r="U11" s="15"/>
    </row>
    <row r="12" spans="1:21">
      <c r="Q12" s="15"/>
      <c r="S12" s="15"/>
      <c r="T12" s="15"/>
      <c r="U12" s="15"/>
    </row>
    <row r="13" spans="1:21">
      <c r="A13" s="12"/>
      <c r="N13" s="15"/>
      <c r="O13" s="15"/>
      <c r="P13" s="15"/>
    </row>
    <row r="16" spans="1:21">
      <c r="H16" s="15"/>
      <c r="J16" s="15"/>
      <c r="K16" s="11"/>
      <c r="L16" s="15"/>
      <c r="M16" s="12"/>
      <c r="P16" s="15"/>
      <c r="Q16" s="12"/>
    </row>
    <row r="17" spans="8:16">
      <c r="K17" s="11"/>
      <c r="L17" s="15"/>
      <c r="M17" s="12"/>
    </row>
    <row r="18" spans="8:16">
      <c r="H18" s="12"/>
      <c r="I18" s="12"/>
      <c r="J18" s="12"/>
      <c r="K18" s="12"/>
      <c r="L18" s="12"/>
    </row>
    <row r="19" spans="8:16">
      <c r="P19" s="15"/>
    </row>
  </sheetData>
  <mergeCells count="21">
    <mergeCell ref="M4:M5"/>
    <mergeCell ref="A1:R1"/>
    <mergeCell ref="A2:R2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O5"/>
    <mergeCell ref="P4:P5"/>
    <mergeCell ref="Q4:Q5"/>
    <mergeCell ref="R4:R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Carmen Chi Fernandez</dc:creator>
  <cp:keywords/>
  <dc:description/>
  <cp:lastModifiedBy>Ruben Moises Canul Alcocer</cp:lastModifiedBy>
  <cp:revision/>
  <dcterms:created xsi:type="dcterms:W3CDTF">2024-01-26T21:07:40Z</dcterms:created>
  <dcterms:modified xsi:type="dcterms:W3CDTF">2024-01-29T16:17:58Z</dcterms:modified>
  <cp:category/>
  <cp:contentStatus/>
</cp:coreProperties>
</file>